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2555" activeTab="0"/>
  </bookViews>
  <sheets>
    <sheet name="Example 1" sheetId="1" r:id="rId1"/>
    <sheet name="Constants" sheetId="2" r:id="rId2"/>
    <sheet name="Functions" sheetId="3" r:id="rId3"/>
    <sheet name="Instructions" sheetId="4" r:id="rId4"/>
  </sheets>
  <externalReferences>
    <externalReference r:id="rId7"/>
  </externalReferences>
  <definedNames>
    <definedName name="AGdipole60M">'Constants'!$AA$4</definedName>
    <definedName name="Belden1426">'Constants'!$G$19</definedName>
    <definedName name="Belden1694">'Constants'!$G$8</definedName>
    <definedName name="Belden7805">'Constants'!$G$22</definedName>
    <definedName name="Belden7808">'Constants'!$G$12</definedName>
    <definedName name="Belden7810">'Constants'!$G$10</definedName>
    <definedName name="Belden8213">'Constants'!$G$14</definedName>
    <definedName name="Belden8215">'Constants'!$G$7</definedName>
    <definedName name="Belden8216">'Constants'!$G$21</definedName>
    <definedName name="Belden8237">'Constants'!$G$9</definedName>
    <definedName name="Belden8238">'Constants'!$G$13</definedName>
    <definedName name="Belden8241">'Constants'!$G$18</definedName>
    <definedName name="Belden8259">'Constants'!$G$16</definedName>
    <definedName name="Belden8267">'Constants'!$G$23</definedName>
    <definedName name="Belden8707">'Constants'!$G$17</definedName>
    <definedName name="Belden9269">'Constants'!$G$20</definedName>
    <definedName name="Belden9913">'Constants'!$G$11</definedName>
    <definedName name="CladFactor">'Constants'!$B$50</definedName>
    <definedName name="coax50">#REF!</definedName>
    <definedName name="coax75">#REF!</definedName>
    <definedName name="DesFreq">'Example 1'!$P$6</definedName>
    <definedName name="fpm">'Constants'!$B$9</definedName>
    <definedName name="FSdipole60M">'Constants'!$L$4</definedName>
    <definedName name="Giga">'Constants'!$B$16</definedName>
    <definedName name="ipm">'Constants'!$B$7</definedName>
    <definedName name="Kilo">'Constants'!$B$14</definedName>
    <definedName name="ladder440">#REF!</definedName>
    <definedName name="LL300">'Constants'!$G$5</definedName>
    <definedName name="LL50">'Constants'!$G$1</definedName>
    <definedName name="LL75">'Constants'!$G$2</definedName>
    <definedName name="LMR500">'Constants'!$G$25</definedName>
    <definedName name="LMR600">'Constants'!$G$26</definedName>
    <definedName name="Loss1">#REF!</definedName>
    <definedName name="Loss2">#REF!</definedName>
    <definedName name="Loss3">#REF!</definedName>
    <definedName name="MedhurstData">'Constants'!$AA$50</definedName>
    <definedName name="Mega">'Constants'!$B$15</definedName>
    <definedName name="micro">'Constants'!$B$12</definedName>
    <definedName name="milli">'Constants'!$B$13</definedName>
    <definedName name="mpf">'Constants'!$B$8</definedName>
    <definedName name="mpi">'Constants'!$B$6</definedName>
    <definedName name="nano">'Constants'!$B$11</definedName>
    <definedName name="NBSdata">'Constants'!$L$3</definedName>
    <definedName name="pico">'Constants'!$B$10</definedName>
    <definedName name="RG218U">'Constants'!$G$24</definedName>
    <definedName name="RG35U">'Constants'!$G$15</definedName>
    <definedName name="rhoShieldTypical">'Constants'!$B$49</definedName>
    <definedName name="SegLen">'Example 1'!$P$10</definedName>
    <definedName name="SegLen1">#REF!</definedName>
    <definedName name="SegLen2">#REF!</definedName>
    <definedName name="tanδAIR">'Constants'!$B$30</definedName>
    <definedName name="tanδGLASS">'Constants'!$B$35</definedName>
    <definedName name="tanδPE">'Constants'!$B$31</definedName>
    <definedName name="tanδPTFE">'Constants'!$B$32</definedName>
    <definedName name="tanδPVC">'Constants'!$B$33</definedName>
    <definedName name="tanδQUARTZ">'Constants'!$B$34</definedName>
    <definedName name="TLseg">'Example 1'!$P$12</definedName>
    <definedName name="TLseg1">#REF!</definedName>
    <definedName name="TLseg2">#REF!</definedName>
    <definedName name="vfAIR">'Constants'!$B$24</definedName>
    <definedName name="vfGLASS">'Constants'!$B$29</definedName>
    <definedName name="vfPE">'Constants'!$B$25</definedName>
    <definedName name="vfPTFE">'Constants'!$B$26</definedName>
    <definedName name="vfPVC">'Constants'!$B$27</definedName>
    <definedName name="vfQUARTZ">'Constants'!$B$28</definedName>
    <definedName name="Zseg">'Example 1'!$P$11</definedName>
    <definedName name="Zseg1">#REF!</definedName>
    <definedName name="Zseg2">#REF!</definedName>
    <definedName name="Zt">'Example 1'!$P$7</definedName>
    <definedName name="ε0">'Constants'!$B$4</definedName>
    <definedName name="εAIR">'Constants'!$B$18</definedName>
    <definedName name="εGLASS">'Constants'!$B$23</definedName>
    <definedName name="εPE">'Constants'!$B$19</definedName>
    <definedName name="εPTFE">'Constants'!$B$20</definedName>
    <definedName name="εPVC">'Constants'!$B$21</definedName>
    <definedName name="εQUARTZ">'Constants'!$B$22</definedName>
    <definedName name="μ0">'Constants'!$B$5</definedName>
    <definedName name="π">'Constants'!$B$1</definedName>
    <definedName name="ρAg">'Constants'!$B$38</definedName>
    <definedName name="ρAl">'Constants'!$B$41</definedName>
    <definedName name="ρAu">'Constants'!$B$40</definedName>
    <definedName name="ρCu">'Constants'!$B$39</definedName>
    <definedName name="ρFe">'Constants'!$B$42</definedName>
    <definedName name="ρPb">'Constants'!$B$44</definedName>
    <definedName name="ρSn">'Constants'!$B$43</definedName>
    <definedName name="ρρ">'Constants'!$B$37</definedName>
    <definedName name="е">'Constants'!$B$2</definedName>
    <definedName name="с">'Constants'!$B$3</definedName>
  </definedNames>
  <calcPr fullCalcOnLoad="1"/>
</workbook>
</file>

<file path=xl/sharedStrings.xml><?xml version="1.0" encoding="utf-8"?>
<sst xmlns="http://schemas.openxmlformats.org/spreadsheetml/2006/main" count="762" uniqueCount="511">
  <si>
    <t>pi</t>
  </si>
  <si>
    <t>pico</t>
  </si>
  <si>
    <t>nano</t>
  </si>
  <si>
    <t>micro</t>
  </si>
  <si>
    <t>milli</t>
  </si>
  <si>
    <t>Kilo</t>
  </si>
  <si>
    <t>Mega</t>
  </si>
  <si>
    <t>Giga</t>
  </si>
  <si>
    <t>mpi</t>
  </si>
  <si>
    <t>ipm</t>
  </si>
  <si>
    <t>mpf</t>
  </si>
  <si>
    <t>fpm</t>
  </si>
  <si>
    <t>meters per inch</t>
  </si>
  <si>
    <t>inches per meter</t>
  </si>
  <si>
    <t>meters per foot</t>
  </si>
  <si>
    <t>feet per meter</t>
  </si>
  <si>
    <t>ρρ</t>
  </si>
  <si>
    <t>permittivity of polyethylene</t>
  </si>
  <si>
    <t>velocity factor of polyethylene</t>
  </si>
  <si>
    <t>velocity factor of teflon</t>
  </si>
  <si>
    <t>permittivity of teflon</t>
  </si>
  <si>
    <t>permittivity of PVC</t>
  </si>
  <si>
    <t>velocity factor of PVC</t>
  </si>
  <si>
    <t>permittivity of quartz</t>
  </si>
  <si>
    <t>velocity factor of quartz</t>
  </si>
  <si>
    <t>permittivity of glass</t>
  </si>
  <si>
    <t>velocity factor of glass</t>
  </si>
  <si>
    <t>resistivity of typical coaxial braid</t>
  </si>
  <si>
    <t>resistivity of silver</t>
  </si>
  <si>
    <t>resistivity of copper</t>
  </si>
  <si>
    <t>resistivity of gold</t>
  </si>
  <si>
    <t>resistivity of aluminum</t>
  </si>
  <si>
    <t>resistivity of iron</t>
  </si>
  <si>
    <t>resistivity of tin</t>
  </si>
  <si>
    <t>resistivity of lead</t>
  </si>
  <si>
    <t>tanδ of polyethylene</t>
  </si>
  <si>
    <t>tanδ of teflon</t>
  </si>
  <si>
    <t>tanδ of PVC</t>
  </si>
  <si>
    <t>tanδ of quartz</t>
  </si>
  <si>
    <t>tanδ of glass</t>
  </si>
  <si>
    <t>π</t>
  </si>
  <si>
    <t>speed of light in empty space</t>
  </si>
  <si>
    <r>
      <rPr>
        <sz val="11"/>
        <color indexed="8"/>
        <rFont val="Calibri"/>
        <family val="2"/>
      </rPr>
      <t>ε</t>
    </r>
    <r>
      <rPr>
        <vertAlign val="subscript"/>
        <sz val="11"/>
        <color indexed="8"/>
        <rFont val="Calibri"/>
        <family val="2"/>
      </rPr>
      <t>0</t>
    </r>
  </si>
  <si>
    <r>
      <rPr>
        <sz val="11"/>
        <color indexed="8"/>
        <rFont val="Calibri"/>
        <family val="2"/>
      </rPr>
      <t>μ</t>
    </r>
    <r>
      <rPr>
        <vertAlign val="subscript"/>
        <sz val="11"/>
        <color indexed="8"/>
        <rFont val="Calibri"/>
        <family val="2"/>
      </rPr>
      <t>0</t>
    </r>
  </si>
  <si>
    <r>
      <t>tanδ</t>
    </r>
    <r>
      <rPr>
        <vertAlign val="subscript"/>
        <sz val="11"/>
        <color indexed="8"/>
        <rFont val="Calibri"/>
        <family val="2"/>
      </rPr>
      <t>PE</t>
    </r>
  </si>
  <si>
    <r>
      <t>tanδ</t>
    </r>
    <r>
      <rPr>
        <vertAlign val="subscript"/>
        <sz val="11"/>
        <color indexed="8"/>
        <rFont val="Calibri"/>
        <family val="2"/>
      </rPr>
      <t>PTFE</t>
    </r>
  </si>
  <si>
    <r>
      <t>tanδ</t>
    </r>
    <r>
      <rPr>
        <vertAlign val="subscript"/>
        <sz val="11"/>
        <color indexed="8"/>
        <rFont val="Calibri"/>
        <family val="2"/>
      </rPr>
      <t>PVC</t>
    </r>
  </si>
  <si>
    <r>
      <t>tanδ</t>
    </r>
    <r>
      <rPr>
        <vertAlign val="subscript"/>
        <sz val="11"/>
        <color indexed="8"/>
        <rFont val="Calibri"/>
        <family val="2"/>
      </rPr>
      <t>QUARTZ</t>
    </r>
  </si>
  <si>
    <r>
      <t>tanδ</t>
    </r>
    <r>
      <rPr>
        <vertAlign val="subscript"/>
        <sz val="11"/>
        <color indexed="8"/>
        <rFont val="Calibri"/>
        <family val="2"/>
      </rPr>
      <t>GLASS</t>
    </r>
  </si>
  <si>
    <r>
      <t>tanδ</t>
    </r>
    <r>
      <rPr>
        <vertAlign val="subscript"/>
        <sz val="11"/>
        <color indexed="8"/>
        <rFont val="Calibri"/>
        <family val="2"/>
      </rPr>
      <t>AIR</t>
    </r>
  </si>
  <si>
    <r>
      <t>ε</t>
    </r>
    <r>
      <rPr>
        <vertAlign val="subscript"/>
        <sz val="11"/>
        <color indexed="8"/>
        <rFont val="Calibri"/>
        <family val="2"/>
      </rPr>
      <t>AIR</t>
    </r>
  </si>
  <si>
    <r>
      <t>ε</t>
    </r>
    <r>
      <rPr>
        <vertAlign val="subscript"/>
        <sz val="11"/>
        <color indexed="8"/>
        <rFont val="Calibri"/>
        <family val="2"/>
      </rPr>
      <t>PE</t>
    </r>
  </si>
  <si>
    <r>
      <t>vf</t>
    </r>
    <r>
      <rPr>
        <vertAlign val="subscript"/>
        <sz val="11"/>
        <color indexed="8"/>
        <rFont val="Calibri"/>
        <family val="2"/>
      </rPr>
      <t>PTFE</t>
    </r>
  </si>
  <si>
    <r>
      <t>ε</t>
    </r>
    <r>
      <rPr>
        <vertAlign val="subscript"/>
        <sz val="11"/>
        <color indexed="8"/>
        <rFont val="Calibri"/>
        <family val="2"/>
      </rPr>
      <t>PVC</t>
    </r>
  </si>
  <si>
    <r>
      <t>ε</t>
    </r>
    <r>
      <rPr>
        <vertAlign val="subscript"/>
        <sz val="11"/>
        <color indexed="8"/>
        <rFont val="Calibri"/>
        <family val="2"/>
      </rPr>
      <t>QUARTZ</t>
    </r>
  </si>
  <si>
    <r>
      <t>ε</t>
    </r>
    <r>
      <rPr>
        <vertAlign val="subscript"/>
        <sz val="11"/>
        <color indexed="8"/>
        <rFont val="Calibri"/>
        <family val="2"/>
      </rPr>
      <t>GLASS</t>
    </r>
  </si>
  <si>
    <r>
      <t>vf</t>
    </r>
    <r>
      <rPr>
        <vertAlign val="subscript"/>
        <sz val="11"/>
        <color indexed="8"/>
        <rFont val="Calibri"/>
        <family val="2"/>
      </rPr>
      <t>AIR</t>
    </r>
  </si>
  <si>
    <r>
      <t>ε</t>
    </r>
    <r>
      <rPr>
        <vertAlign val="subscript"/>
        <sz val="11"/>
        <color indexed="8"/>
        <rFont val="Calibri"/>
        <family val="2"/>
      </rPr>
      <t>PTFE</t>
    </r>
  </si>
  <si>
    <r>
      <t>vf</t>
    </r>
    <r>
      <rPr>
        <vertAlign val="subscript"/>
        <sz val="11"/>
        <color indexed="8"/>
        <rFont val="Calibri"/>
        <family val="2"/>
      </rPr>
      <t>PVC</t>
    </r>
  </si>
  <si>
    <r>
      <t>vf</t>
    </r>
    <r>
      <rPr>
        <vertAlign val="subscript"/>
        <sz val="11"/>
        <color indexed="8"/>
        <rFont val="Calibri"/>
        <family val="2"/>
      </rPr>
      <t>QUARTZ</t>
    </r>
  </si>
  <si>
    <r>
      <t>vf</t>
    </r>
    <r>
      <rPr>
        <vertAlign val="subscript"/>
        <sz val="11"/>
        <color indexed="8"/>
        <rFont val="Calibri"/>
        <family val="2"/>
      </rPr>
      <t>GLASS</t>
    </r>
  </si>
  <si>
    <r>
      <t>vf</t>
    </r>
    <r>
      <rPr>
        <vertAlign val="subscript"/>
        <sz val="11"/>
        <color indexed="8"/>
        <rFont val="Calibri"/>
        <family val="2"/>
      </rPr>
      <t>PE</t>
    </r>
  </si>
  <si>
    <r>
      <t>ρ</t>
    </r>
    <r>
      <rPr>
        <vertAlign val="subscript"/>
        <sz val="11"/>
        <color indexed="8"/>
        <rFont val="Calibri"/>
        <family val="2"/>
      </rPr>
      <t>Ag</t>
    </r>
  </si>
  <si>
    <r>
      <t>ρ</t>
    </r>
    <r>
      <rPr>
        <vertAlign val="subscript"/>
        <sz val="11"/>
        <color indexed="8"/>
        <rFont val="Calibri"/>
        <family val="2"/>
      </rPr>
      <t>Cu</t>
    </r>
  </si>
  <si>
    <r>
      <t>ρ</t>
    </r>
    <r>
      <rPr>
        <vertAlign val="subscript"/>
        <sz val="11"/>
        <color indexed="8"/>
        <rFont val="Calibri"/>
        <family val="2"/>
      </rPr>
      <t>Au</t>
    </r>
  </si>
  <si>
    <r>
      <t>ρ</t>
    </r>
    <r>
      <rPr>
        <vertAlign val="subscript"/>
        <sz val="11"/>
        <color indexed="8"/>
        <rFont val="Calibri"/>
        <family val="2"/>
      </rPr>
      <t>Al</t>
    </r>
  </si>
  <si>
    <r>
      <t>ρ</t>
    </r>
    <r>
      <rPr>
        <vertAlign val="subscript"/>
        <sz val="11"/>
        <color indexed="8"/>
        <rFont val="Calibri"/>
        <family val="2"/>
      </rPr>
      <t>Fe</t>
    </r>
  </si>
  <si>
    <r>
      <t>ρ</t>
    </r>
    <r>
      <rPr>
        <vertAlign val="subscript"/>
        <sz val="11"/>
        <color indexed="8"/>
        <rFont val="Calibri"/>
        <family val="2"/>
      </rPr>
      <t>Sn</t>
    </r>
  </si>
  <si>
    <r>
      <t>ρ</t>
    </r>
    <r>
      <rPr>
        <vertAlign val="subscript"/>
        <sz val="11"/>
        <color indexed="8"/>
        <rFont val="Calibri"/>
        <family val="2"/>
      </rPr>
      <t>Pb</t>
    </r>
  </si>
  <si>
    <t>convert to Ohm*meters</t>
  </si>
  <si>
    <t>permeability of empty space</t>
  </si>
  <si>
    <t>permittivity of empty space</t>
  </si>
  <si>
    <t>с       (Cyrillic)</t>
  </si>
  <si>
    <t>Belden8215</t>
  </si>
  <si>
    <t>Belden1694</t>
  </si>
  <si>
    <t>Belden8237</t>
  </si>
  <si>
    <t>Belden7810</t>
  </si>
  <si>
    <t>Belden9913</t>
  </si>
  <si>
    <t>Belden7808</t>
  </si>
  <si>
    <t>Belden8238</t>
  </si>
  <si>
    <t>Belden8213</t>
  </si>
  <si>
    <t>RG35U</t>
  </si>
  <si>
    <t>Belden8259</t>
  </si>
  <si>
    <t>Belden8707</t>
  </si>
  <si>
    <t>Belden8241</t>
  </si>
  <si>
    <t>Belden1426</t>
  </si>
  <si>
    <t>Belden9269</t>
  </si>
  <si>
    <t>Belden8216</t>
  </si>
  <si>
    <t>Belden7805</t>
  </si>
  <si>
    <t>Belden8267</t>
  </si>
  <si>
    <t>RG218U</t>
  </si>
  <si>
    <t>LMR500</t>
  </si>
  <si>
    <t>LMR600</t>
  </si>
  <si>
    <t>:</t>
  </si>
  <si>
    <t>Lossless 50-Ohm coax</t>
  </si>
  <si>
    <t>Lossless 75-Ohm coax</t>
  </si>
  <si>
    <t>Lossless 300-Ohm twinlead</t>
  </si>
  <si>
    <r>
      <t>LL</t>
    </r>
    <r>
      <rPr>
        <vertAlign val="subscript"/>
        <sz val="11"/>
        <color indexed="8"/>
        <rFont val="Calibri"/>
        <family val="2"/>
      </rPr>
      <t>50</t>
    </r>
  </si>
  <si>
    <r>
      <t>LL</t>
    </r>
    <r>
      <rPr>
        <vertAlign val="subscript"/>
        <sz val="11"/>
        <color indexed="8"/>
        <rFont val="Calibri"/>
        <family val="2"/>
      </rPr>
      <t>75</t>
    </r>
  </si>
  <si>
    <r>
      <t>LL</t>
    </r>
    <r>
      <rPr>
        <vertAlign val="subscript"/>
        <sz val="11"/>
        <color indexed="8"/>
        <rFont val="Calibri"/>
        <family val="2"/>
      </rPr>
      <t>300</t>
    </r>
  </si>
  <si>
    <t>Cu braid</t>
  </si>
  <si>
    <t>Al foil + Cu braid</t>
  </si>
  <si>
    <t xml:space="preserve"> CCS = Copper clad steel</t>
  </si>
  <si>
    <t xml:space="preserve"> CCA = Copper clad aluminum</t>
  </si>
  <si>
    <t>CladFactor</t>
  </si>
  <si>
    <t>RG-6    solid    #21 CCS</t>
  </si>
  <si>
    <t>RG-6    foam    #18 Cu</t>
  </si>
  <si>
    <t>RG-8    solid    #13 Cu</t>
  </si>
  <si>
    <t>RG-8    foam    #10 Cu</t>
  </si>
  <si>
    <t>RG-8X    foam    #15 Cu</t>
  </si>
  <si>
    <t>RG-11    solid    #18 Cu</t>
  </si>
  <si>
    <t>RG-11    foam    #14 Cu</t>
  </si>
  <si>
    <t>RG-35    solid    #10 Cu</t>
  </si>
  <si>
    <t>RG-58    foam    #17 Cu</t>
  </si>
  <si>
    <t>RG-59    solid    #23 CCS</t>
  </si>
  <si>
    <t>RG-59    foam    #20 Cu</t>
  </si>
  <si>
    <t>RG-62    spaced    #22 CCS</t>
  </si>
  <si>
    <t>RG-174    solid    #26 CCS</t>
  </si>
  <si>
    <t>RG-174    foam    #25 Cu</t>
  </si>
  <si>
    <t>RG-213    solid    #13 Cu</t>
  </si>
  <si>
    <t>RG-218    solid    #4.4 Cu</t>
  </si>
  <si>
    <t>LMR500    foam    #7.1 CCA</t>
  </si>
  <si>
    <t>LMR600    foam    #5.3 CCA</t>
  </si>
  <si>
    <t>adjustment for copper cladding</t>
  </si>
  <si>
    <t>RG-58    solid    #20 Cu</t>
  </si>
  <si>
    <t>AWG(Gn)</t>
  </si>
  <si>
    <t>GaugeNumber(diam)</t>
  </si>
  <si>
    <t>Minor transmission line functions</t>
  </si>
  <si>
    <t>ZfromLC(L,C)</t>
  </si>
  <si>
    <t>VFfromLC(L,C)</t>
  </si>
  <si>
    <t>LfromZvf(Z,vf)</t>
  </si>
  <si>
    <t>CfromZvf(Z,vf)</t>
  </si>
  <si>
    <t>CfromLvf(L,vf)</t>
  </si>
  <si>
    <t>ZfromLvf(L,vf)</t>
  </si>
  <si>
    <t>VFfromLZ(L,Z)</t>
  </si>
  <si>
    <t>LfromCvf(C,vf)</t>
  </si>
  <si>
    <t>LfromCZ(C,Z)</t>
  </si>
  <si>
    <t>VFfromCZ(C,Z)</t>
  </si>
  <si>
    <t>Ltwin(dia,sep)</t>
  </si>
  <si>
    <t>Ctwin(dia,sep,vf)</t>
  </si>
  <si>
    <t>TwinSep(dia,L)</t>
  </si>
  <si>
    <t>TwinSepTL(dia,TL)</t>
  </si>
  <si>
    <t>Transmission line creation functions</t>
  </si>
  <si>
    <t>Basic stuff</t>
  </si>
  <si>
    <t>DefineLosslessLine(Zo,vf)</t>
  </si>
  <si>
    <r>
      <t>SkinDepth(MHz,ρ,μ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</si>
  <si>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r>
      <t>Lcoax(dia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)</t>
    </r>
  </si>
  <si>
    <r>
      <t>Ccoax(dia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,vf)</t>
    </r>
  </si>
  <si>
    <r>
      <t>CoaxDiam(dia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,L)</t>
    </r>
  </si>
  <si>
    <r>
      <t>R</t>
    </r>
    <r>
      <rPr>
        <vertAlign val="subscript"/>
        <sz val="11"/>
        <color indexed="8"/>
        <rFont val="Calibri"/>
        <family val="2"/>
      </rPr>
      <t>wireDC</t>
    </r>
    <r>
      <rPr>
        <sz val="11"/>
        <color theme="1"/>
        <rFont val="Calibri"/>
        <family val="2"/>
      </rPr>
      <t>(dia,ρ)</t>
    </r>
  </si>
  <si>
    <r>
      <t>R</t>
    </r>
    <r>
      <rPr>
        <vertAlign val="subscript"/>
        <sz val="11"/>
        <color indexed="8"/>
        <rFont val="Calibri"/>
        <family val="2"/>
      </rPr>
      <t>shieldDC</t>
    </r>
    <r>
      <rPr>
        <sz val="11"/>
        <color theme="1"/>
        <rFont val="Calibri"/>
        <family val="2"/>
      </rPr>
      <t>(dia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,thickness,ρ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)</t>
    </r>
  </si>
  <si>
    <r>
      <t>R</t>
    </r>
    <r>
      <rPr>
        <vertAlign val="subscript"/>
        <sz val="11"/>
        <color indexed="8"/>
        <rFont val="Calibri"/>
        <family val="2"/>
      </rPr>
      <t>wireAC</t>
    </r>
    <r>
      <rPr>
        <sz val="11"/>
        <color theme="1"/>
        <rFont val="Calibri"/>
        <family val="2"/>
      </rPr>
      <t>(MHz,dia,ρ)</t>
    </r>
  </si>
  <si>
    <r>
      <t>R</t>
    </r>
    <r>
      <rPr>
        <vertAlign val="subscript"/>
        <sz val="11"/>
        <color indexed="8"/>
        <rFont val="Calibri"/>
        <family val="2"/>
      </rPr>
      <t>shieldAC</t>
    </r>
    <r>
      <rPr>
        <sz val="11"/>
        <color theme="1"/>
        <rFont val="Calibri"/>
        <family val="2"/>
      </rPr>
      <t>(MHz,dia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,thickness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,ρ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)</t>
    </r>
  </si>
  <si>
    <r>
      <t>setGp(tanδ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,TL)</t>
    </r>
  </si>
  <si>
    <r>
      <t>Z</t>
    </r>
    <r>
      <rPr>
        <vertAlign val="subscript"/>
        <sz val="11"/>
        <color indexed="8"/>
        <rFont val="Calibri"/>
        <family val="2"/>
      </rPr>
      <t>characteristic</t>
    </r>
    <r>
      <rPr>
        <sz val="11"/>
        <color theme="1"/>
        <rFont val="Calibri"/>
        <family val="2"/>
      </rPr>
      <t>(TL)</t>
    </r>
  </si>
  <si>
    <r>
      <t>DefineLossyLine(Zo,vf,Rs</t>
    </r>
    <r>
      <rPr>
        <vertAlign val="subscript"/>
        <sz val="11"/>
        <color indexed="8"/>
        <rFont val="Calibri"/>
        <family val="2"/>
      </rPr>
      <t>DC</t>
    </r>
    <r>
      <rPr>
        <sz val="11"/>
        <color theme="1"/>
        <rFont val="Calibri"/>
        <family val="2"/>
      </rPr>
      <t>,Rs</t>
    </r>
    <r>
      <rPr>
        <vertAlign val="subscript"/>
        <sz val="11"/>
        <color indexed="8"/>
        <rFont val="Calibri"/>
        <family val="2"/>
      </rPr>
      <t>10MHz</t>
    </r>
    <r>
      <rPr>
        <sz val="11"/>
        <color theme="1"/>
        <rFont val="Calibri"/>
        <family val="2"/>
      </rPr>
      <t>,Gp</t>
    </r>
    <r>
      <rPr>
        <vertAlign val="subscript"/>
        <sz val="11"/>
        <color indexed="8"/>
        <rFont val="Calibri"/>
        <family val="2"/>
      </rPr>
      <t>DC</t>
    </r>
    <r>
      <rPr>
        <sz val="11"/>
        <color theme="1"/>
        <rFont val="Calibri"/>
        <family val="2"/>
      </rPr>
      <t>,Gp</t>
    </r>
    <r>
      <rPr>
        <vertAlign val="subscript"/>
        <sz val="11"/>
        <color indexed="8"/>
        <rFont val="Calibri"/>
        <family val="2"/>
      </rPr>
      <t>10MHz</t>
    </r>
    <r>
      <rPr>
        <sz val="11"/>
        <color theme="1"/>
        <rFont val="Calibri"/>
        <family val="2"/>
      </rPr>
      <t>)</t>
    </r>
  </si>
  <si>
    <r>
      <t>DefineTwinleadZo(Zo,vf,ρ,dia,tanδ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)</t>
    </r>
  </si>
  <si>
    <r>
      <t>DefineTwinlead(vf,ρ,dia,sep,tanδ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)</t>
    </r>
  </si>
  <si>
    <r>
      <t>DefineCoaxZo(Zo,vf,ρ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,ρ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,th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,tanδ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)</t>
    </r>
  </si>
  <si>
    <r>
      <t>DefineCoax(vf,MHz,ρ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,ρ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,th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,tanδ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solid</t>
    </r>
    <r>
      <rPr>
        <sz val="11"/>
        <color theme="1"/>
        <rFont val="Calibri"/>
        <family val="2"/>
      </rPr>
      <t>)</t>
    </r>
  </si>
  <si>
    <t>Circuit solving functions</t>
  </si>
  <si>
    <t>LineZ(TL,length,MHz,Zt)</t>
  </si>
  <si>
    <t>reflect(Zo,Zt)</t>
  </si>
  <si>
    <t>VSWR(Zo,Zt)</t>
  </si>
  <si>
    <t>Ang(V)</t>
  </si>
  <si>
    <t>LineInsertionLoss(TL,meters,MHz,Zt)</t>
  </si>
  <si>
    <t>LineRejectionLoss(Zo,Zt)</t>
  </si>
  <si>
    <t>LineReturnLoss(Zo,Zt)</t>
  </si>
  <si>
    <r>
      <t>f</t>
    </r>
    <r>
      <rPr>
        <vertAlign val="subscript"/>
        <sz val="11"/>
        <color indexed="8"/>
        <rFont val="Calibri"/>
        <family val="2"/>
      </rPr>
      <t>COcoax</t>
    </r>
    <r>
      <rPr>
        <sz val="11"/>
        <color theme="1"/>
        <rFont val="Calibri"/>
        <family val="2"/>
      </rPr>
      <t>(dia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shield</t>
    </r>
    <r>
      <rPr>
        <sz val="11"/>
        <color theme="1"/>
        <rFont val="Calibri"/>
        <family val="2"/>
      </rPr>
      <t>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</si>
  <si>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t>Common coaxial cables</t>
  </si>
  <si>
    <t>clad(adj)</t>
  </si>
  <si>
    <t>PEcoax(Zo,vf,Gn,RshieldDC,RccDC)</t>
  </si>
  <si>
    <t>Other geometries</t>
  </si>
  <si>
    <t>TwinleadUnequal(dia1,dia2,sep,vf)</t>
  </si>
  <si>
    <t>TwinleadNearGround(dia,sep,h,vf)</t>
  </si>
  <si>
    <t>TwinleadNearGroundUnequal(dia,sep,h1,h2,vf)</t>
  </si>
  <si>
    <t>ShieldedTwinlead(ShieldDia,WireDia,sep,vf)</t>
  </si>
  <si>
    <t>DoubleWithShieldReturn(ShieldDia,WireDia,sep,vf)</t>
  </si>
  <si>
    <t>BoxedTwinlead(dia,sep,w,h,lim,vf)</t>
  </si>
  <si>
    <t>SquareCoax(dia,side,vf)</t>
  </si>
  <si>
    <t>OffCenterCoax(ShieldDia,WireDia,c,vf)</t>
  </si>
  <si>
    <t>WireAbovePlane(dia,h,vf)</t>
  </si>
  <si>
    <t>DoubleAbovePlane(dia,sep,h,vf)</t>
  </si>
  <si>
    <r>
      <t>FourWire(dia,D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,D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,vf)</t>
    </r>
  </si>
  <si>
    <t>ParallelStrips(sep,wid)</t>
  </si>
  <si>
    <r>
      <t>Wheeler(w,h,th,ε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</si>
  <si>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r>
      <t>MicroStrip(w,h,th,ρ,ε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,tanδ)</t>
    </r>
  </si>
  <si>
    <r>
      <t>DifferentialOpposite(w,h,th,ρ,ε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,tanδ)</t>
    </r>
  </si>
  <si>
    <r>
      <t>DifferentialMicrostrip(sep,w,h,th,ρ,ε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,tanδ)</t>
    </r>
  </si>
  <si>
    <r>
      <t>DifferentialDualTrace(sep,w,h,th,ε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</si>
  <si>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r>
      <t>Stripline(w,h,th,ε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</si>
  <si>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t>Functions you can usually ignore</t>
  </si>
  <si>
    <t>QuadraticInterpolation(x,x1,x2,x3,y1,y2,y3)</t>
  </si>
  <si>
    <t>antilog(x)</t>
  </si>
  <si>
    <t>TLextract(TL,n)</t>
  </si>
  <si>
    <t>TLmodify(TL,a,b)</t>
  </si>
  <si>
    <t>a test case</t>
  </si>
  <si>
    <t>correct answer</t>
  </si>
  <si>
    <t>5+5i</t>
  </si>
  <si>
    <t>CfromLZ(L,Z)</t>
  </si>
  <si>
    <t>300</t>
  </si>
  <si>
    <t>00,11,22,37,44,55</t>
  </si>
  <si>
    <t>22</t>
  </si>
  <si>
    <t>1.11208320430794E-11</t>
  </si>
  <si>
    <t>The functions below are defined but are not useful from a worksheet</t>
  </si>
  <si>
    <t>rhoShieldTypical</t>
  </si>
  <si>
    <t>resistivity of 60/40 PbSn solder</t>
  </si>
  <si>
    <t>These are all the Visual Basic functions defined in this workbook:</t>
  </si>
  <si>
    <t>R</t>
  </si>
  <si>
    <t>X</t>
  </si>
  <si>
    <t>freq</t>
  </si>
  <si>
    <t>DelayLineBalunZun(TL,length,MHz,Zbal)</t>
  </si>
  <si>
    <t>DelayLineBalunZbal(TL,length,MHz,Zun)</t>
  </si>
  <si>
    <t>impedances in parallel</t>
  </si>
  <si>
    <t>convert AWG to diameter in meters</t>
  </si>
  <si>
    <t>find vf from L and C</t>
  </si>
  <si>
    <t>find C from L and vf</t>
  </si>
  <si>
    <t>find L from C and vf</t>
  </si>
  <si>
    <t>ZfromCvf(C,vf)</t>
  </si>
  <si>
    <t>DC resistance of round wire</t>
  </si>
  <si>
    <t>DC resistance of coax shield</t>
  </si>
  <si>
    <t>AC resistance of round wire</t>
  </si>
  <si>
    <t>AC resistance of coax shield</t>
  </si>
  <si>
    <t>dielectric loss conductance</t>
  </si>
  <si>
    <t>get transmission line parameter</t>
  </si>
  <si>
    <t>modify transmission line parameter</t>
  </si>
  <si>
    <t>create a lossy transmission line type</t>
  </si>
  <si>
    <t>create a twinlead transmission line type</t>
  </si>
  <si>
    <t>create a coax type</t>
  </si>
  <si>
    <t>find transmission line output voltage</t>
  </si>
  <si>
    <t>find transmission line output current</t>
  </si>
  <si>
    <t>find transmission line input voltage</t>
  </si>
  <si>
    <t>find transmission line input current</t>
  </si>
  <si>
    <t>find transmission line input impedance</t>
  </si>
  <si>
    <t>find balun impedance</t>
  </si>
  <si>
    <t>find VSWR</t>
  </si>
  <si>
    <t>find loss from a reflection</t>
  </si>
  <si>
    <t>adjustment</t>
  </si>
  <si>
    <t>same as IMARGUMENT(x)</t>
  </si>
  <si>
    <t>find power in reflection</t>
  </si>
  <si>
    <t>find cutoff frequency for coax</t>
  </si>
  <si>
    <t>create coax with polyethylene insulation</t>
  </si>
  <si>
    <t>create a lossless transmission line type</t>
  </si>
  <si>
    <t>create a microstrip type</t>
  </si>
  <si>
    <t>create a twinlead with unequal wire diameters type</t>
  </si>
  <si>
    <t>create a twinlead above ground plane type</t>
  </si>
  <si>
    <t>create a twinlead unequally above ground type</t>
  </si>
  <si>
    <t>create a shielded twinlead type</t>
  </si>
  <si>
    <t>create a shielded parallel wires type</t>
  </si>
  <si>
    <t>create a square coaxial type</t>
  </si>
  <si>
    <t>create an off-center coaxial type</t>
  </si>
  <si>
    <t>create a single wire above ground plane type</t>
  </si>
  <si>
    <t>create a double wire above ground plane type</t>
  </si>
  <si>
    <t>create a balanced 4-wire type</t>
  </si>
  <si>
    <t>create a parallel strips type</t>
  </si>
  <si>
    <t>3.79050055075973E-07,6.73866764579508E-11,0.0364173228345,0.410405350238414,0,2.78652194964001E-06</t>
  </si>
  <si>
    <t>1.98550028849319E-07,7.94200115397277E-11,0.0088582677165,0.153576979587308,0,1.05754388167298E-06</t>
  </si>
  <si>
    <t>1.00069214540057E-06,1.11188016155619E-11,0,0,0,0</t>
  </si>
  <si>
    <t>1.00069214540057E-06,1.11188016155619E-11,2,3,4,5</t>
  </si>
  <si>
    <t>1.00069214540057E-06,1.11188016155619E-11,4.39038459815579E-06,5.0598762052833E-03,0,0</t>
  </si>
  <si>
    <t>1.19728913845055E-06,1.02970357173915E-11,4.39038459815579E-06,5.0598762052833E-03,0,3.55024866541023E-08</t>
  </si>
  <si>
    <t>3.79050055075973E-07,6.73866764579508E-11,9.61166920596032E-07,1.41199603292634E-03,0,2.78652194964001E-06</t>
  </si>
  <si>
    <t>1.42108799045601E-07,1.16442038122107E-10,4.93918267292526E-06,3.84298798745182E-03,0,1.81056957038074E-06</t>
  </si>
  <si>
    <t>28.7751827416119-29.8320001466748i</t>
  </si>
  <si>
    <t>75.7796304693245+29.605345029595i</t>
  </si>
  <si>
    <t>1.57138774674129E-11</t>
  </si>
  <si>
    <t>create a differential opposite microstrip type</t>
  </si>
  <si>
    <t>create a differential microstrip type</t>
  </si>
  <si>
    <t>create a stripline type</t>
  </si>
  <si>
    <t>(formula needed.  Anyone?  Until then use atlc2.)</t>
  </si>
  <si>
    <t>View the manual</t>
  </si>
  <si>
    <t>Download the examples</t>
  </si>
  <si>
    <t>View the KQ6QV HomePage</t>
  </si>
  <si>
    <t>Download the latest project base</t>
  </si>
  <si>
    <t>http://www.hdtvprimer.com/KQ6QV/TransmissionLines.html</t>
  </si>
  <si>
    <t>http://www.hdtvprimer.com/KQ6QV/Examples.xls</t>
  </si>
  <si>
    <t>http://www.hdtvprimer.com/KQ6QV/HomePage.html</t>
  </si>
  <si>
    <t>http://www.hdtvprimer.com/KQ6QV/TransmissionLines.xls</t>
  </si>
  <si>
    <t>convert diameter in meters to AWG</t>
  </si>
  <si>
    <r>
      <t>find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from L and C</t>
    </r>
  </si>
  <si>
    <r>
      <t>find C from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and vf</t>
    </r>
  </si>
  <si>
    <r>
      <t>find L from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and vf</t>
    </r>
  </si>
  <si>
    <r>
      <t>find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from L and vf</t>
    </r>
  </si>
  <si>
    <r>
      <t>find C from L and Z</t>
    </r>
    <r>
      <rPr>
        <vertAlign val="subscript"/>
        <sz val="11"/>
        <color indexed="8"/>
        <rFont val="Calibri"/>
        <family val="2"/>
      </rPr>
      <t>o</t>
    </r>
  </si>
  <si>
    <r>
      <t>find vf from L and Z</t>
    </r>
    <r>
      <rPr>
        <vertAlign val="subscript"/>
        <sz val="11"/>
        <color indexed="8"/>
        <rFont val="Calibri"/>
        <family val="2"/>
      </rPr>
      <t>o</t>
    </r>
  </si>
  <si>
    <r>
      <t>find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from C and vf</t>
    </r>
  </si>
  <si>
    <r>
      <t>find L from C and Z</t>
    </r>
    <r>
      <rPr>
        <vertAlign val="subscript"/>
        <sz val="11"/>
        <color indexed="8"/>
        <rFont val="Calibri"/>
        <family val="2"/>
      </rPr>
      <t>o</t>
    </r>
  </si>
  <si>
    <r>
      <t>find vf from C and Z</t>
    </r>
    <r>
      <rPr>
        <vertAlign val="subscript"/>
        <sz val="11"/>
        <color indexed="8"/>
        <rFont val="Calibri"/>
        <family val="2"/>
      </rPr>
      <t>o</t>
    </r>
  </si>
  <si>
    <r>
      <t>Wheeler formula for microstrip Z</t>
    </r>
    <r>
      <rPr>
        <vertAlign val="subscript"/>
        <sz val="11"/>
        <color indexed="8"/>
        <rFont val="Calibri"/>
        <family val="2"/>
      </rPr>
      <t>o</t>
    </r>
  </si>
  <si>
    <r>
      <t>show Z</t>
    </r>
    <r>
      <rPr>
        <vertAlign val="subscript"/>
        <sz val="11"/>
        <color indexed="8"/>
        <rFont val="Calibri"/>
        <family val="2"/>
      </rPr>
      <t>o</t>
    </r>
  </si>
  <si>
    <t>find heat loss from dissipation in line</t>
  </si>
  <si>
    <t>base of natural logarithms</t>
  </si>
  <si>
    <t>е      (Cyrillic)</t>
  </si>
  <si>
    <t>*</t>
  </si>
  <si>
    <t>*f</t>
  </si>
  <si>
    <t>Zser(z1,z2)</t>
  </si>
  <si>
    <t>impedances in series  (same as IMSUM)</t>
  </si>
  <si>
    <t>Zcap(C,MHz)</t>
  </si>
  <si>
    <t>impedance of a capacitor</t>
  </si>
  <si>
    <t>impedance of an inductor</t>
  </si>
  <si>
    <t>7+8i</t>
  </si>
  <si>
    <t>75</t>
  </si>
  <si>
    <t>example:  Zcap(6.8*pico,14)  would be the impedance of a 6.8 pF capacitor at 14 MHz.</t>
  </si>
  <si>
    <r>
      <t>ρ</t>
    </r>
    <r>
      <rPr>
        <vertAlign val="subscript"/>
        <sz val="11"/>
        <color indexed="8"/>
        <rFont val="Calibri"/>
        <family val="2"/>
      </rPr>
      <t>SOLDER</t>
    </r>
  </si>
  <si>
    <r>
      <t>find vf from ε</t>
    </r>
    <r>
      <rPr>
        <vertAlign val="subscript"/>
        <sz val="11"/>
        <color indexed="8"/>
        <rFont val="Calibri"/>
        <family val="2"/>
      </rPr>
      <t>r</t>
    </r>
  </si>
  <si>
    <t>PfromVI(V,I)</t>
  </si>
  <si>
    <t>PfromVZ(V,Z)</t>
  </si>
  <si>
    <t>find real power in device with voltage V and current I</t>
  </si>
  <si>
    <t>find real power in device with current I and impedance Z</t>
  </si>
  <si>
    <t>find real power in device with voltage V and impedance Z</t>
  </si>
  <si>
    <t>EfromVF(vf)</t>
  </si>
  <si>
    <r>
      <t>VFfromE(ε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)</t>
    </r>
  </si>
  <si>
    <t>2.29568411386593</t>
  </si>
  <si>
    <t>0.66</t>
  </si>
  <si>
    <t>Zpar(z1,z2)</t>
  </si>
  <si>
    <t>PfromIZ(I,Z)</t>
  </si>
  <si>
    <t>A "TL" parameter refers to a transmission line</t>
  </si>
  <si>
    <t xml:space="preserve">   type descriptor (a string with 6 substrings).</t>
  </si>
  <si>
    <t>The constants below are used by the VBA functions and must not be erased:            (They may be moved.)</t>
  </si>
  <si>
    <t>Terminal impedance of free space symmetric uninsulated copper dipole 100 feet long as determined by NEC-4  (83 segments)</t>
  </si>
  <si>
    <t>Wire dia 0.025"</t>
  </si>
  <si>
    <t>Wire dia 0.050"</t>
  </si>
  <si>
    <t>Wire dia 0.100"</t>
  </si>
  <si>
    <t>Wire dia 0.200"</t>
  </si>
  <si>
    <t>(19 segments were used below 1 MHz.)</t>
  </si>
  <si>
    <r>
      <t xml:space="preserve">Terminal impedance of symmetric uninsulated AWG #12 copper dipole 100 feet long above average ground as determined by NEC-4  (83 segments, ground: </t>
    </r>
    <r>
      <rPr>
        <sz val="11"/>
        <color indexed="8"/>
        <rFont val="Calibri"/>
        <family val="2"/>
      </rPr>
      <t>σ</t>
    </r>
    <r>
      <rPr>
        <sz val="11"/>
        <color theme="1"/>
        <rFont val="Calibri"/>
        <family val="2"/>
      </rPr>
      <t>=0.005 S/m, k=13)</t>
    </r>
  </si>
  <si>
    <t>height of 5'</t>
  </si>
  <si>
    <t>height of 10'</t>
  </si>
  <si>
    <t>height of 15'</t>
  </si>
  <si>
    <t>height of 20'</t>
  </si>
  <si>
    <t>height of 25'</t>
  </si>
  <si>
    <t>height of 30'</t>
  </si>
  <si>
    <t>height of 35'</t>
  </si>
  <si>
    <t>height of 40'</t>
  </si>
  <si>
    <t>height of 45'</t>
  </si>
  <si>
    <t>height of 50'</t>
  </si>
  <si>
    <t>height of 55'</t>
  </si>
  <si>
    <t>height of 60'</t>
  </si>
  <si>
    <t>height of 65'</t>
  </si>
  <si>
    <t>height of 70'</t>
  </si>
  <si>
    <t>height of 75'</t>
  </si>
  <si>
    <t>height of 80'</t>
  </si>
  <si>
    <t>height of 85'</t>
  </si>
  <si>
    <t>height of 90'</t>
  </si>
  <si>
    <t>height of 95'</t>
  </si>
  <si>
    <t>height of 100'</t>
  </si>
  <si>
    <t>height of 105'</t>
  </si>
  <si>
    <t>height of 110'</t>
  </si>
  <si>
    <t>height of 115'</t>
  </si>
  <si>
    <t>height of 120'</t>
  </si>
  <si>
    <t>height of 125'</t>
  </si>
  <si>
    <t>height of 130'</t>
  </si>
  <si>
    <t>height of 135'</t>
  </si>
  <si>
    <t>height of 140'</t>
  </si>
  <si>
    <t>height of 145'</t>
  </si>
  <si>
    <t>height of 150'</t>
  </si>
  <si>
    <t>height of 155'</t>
  </si>
  <si>
    <t>height of 160'</t>
  </si>
  <si>
    <t>height of 165'</t>
  </si>
  <si>
    <t>height of 170'</t>
  </si>
  <si>
    <t>height of 175'</t>
  </si>
  <si>
    <t>height of 180'</t>
  </si>
  <si>
    <t>height of 185'</t>
  </si>
  <si>
    <t>height of 190'</t>
  </si>
  <si>
    <t>height of 195'</t>
  </si>
  <si>
    <t>height of 200'</t>
  </si>
  <si>
    <t>height of 205'</t>
  </si>
  <si>
    <t>height of 210'</t>
  </si>
  <si>
    <t>height of 215'</t>
  </si>
  <si>
    <t>height of 220'</t>
  </si>
  <si>
    <t>Zind(L,MHz)</t>
  </si>
  <si>
    <t>example:  Zind(5*micro,21)  would be the impedance of a 5 μH coil at 21 MHz.</t>
  </si>
  <si>
    <r>
      <t>C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(len,dia,n)</t>
    </r>
  </si>
  <si>
    <r>
      <t>Z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(len,dia,n,WireDia,MHz)</t>
    </r>
  </si>
  <si>
    <t>FreeSpaceDipoleZ(TotalLength,WireDiameter,MHz)</t>
  </si>
  <si>
    <t>AboveGroundDipoleZ(TotalLength,HeightAboveGround,MHz)</t>
  </si>
  <si>
    <t>Other engineering functions</t>
  </si>
  <si>
    <t>impedance of a single-layer coil, lumped parameter model</t>
  </si>
  <si>
    <t>impedance of HF wire dipole</t>
  </si>
  <si>
    <t>5.05854016301863+44.2356739551919i</t>
  </si>
  <si>
    <t>74.2709251627047-0.442347976902744i</t>
  </si>
  <si>
    <t>80.7057661806396-49.3016969666277i</t>
  </si>
  <si>
    <t>WireDipoleZ(TotalLength,WireDia,HeightAboveGround,MHz)</t>
  </si>
  <si>
    <t>InverseReflect(Zo,ref)</t>
  </si>
  <si>
    <t>find terminal impedance from reflection coefficient</t>
  </si>
  <si>
    <t>Wire dia 0.400"</t>
  </si>
  <si>
    <t>122.384945301091+166.58050755577i</t>
  </si>
  <si>
    <t>Lundin, LEsnaultPelterie, LNagaoka, FSang</t>
  </si>
  <si>
    <r>
      <t>Z</t>
    </r>
    <r>
      <rPr>
        <vertAlign val="subscript"/>
        <sz val="11"/>
        <color indexed="8"/>
        <rFont val="Calibri"/>
        <family val="2"/>
      </rPr>
      <t>tank</t>
    </r>
    <r>
      <rPr>
        <sz val="11"/>
        <color theme="1"/>
        <rFont val="Calibri"/>
        <family val="2"/>
      </rPr>
      <t>(L,C,R,MHz)</t>
    </r>
  </si>
  <si>
    <r>
      <t>F</t>
    </r>
    <r>
      <rPr>
        <vertAlign val="subscript"/>
        <sz val="11"/>
        <color indexed="8"/>
        <rFont val="Calibri"/>
        <family val="2"/>
      </rPr>
      <t>resonance</t>
    </r>
    <r>
      <rPr>
        <sz val="11"/>
        <color theme="1"/>
        <rFont val="Calibri"/>
        <family val="2"/>
      </rPr>
      <t>(L,C)</t>
    </r>
  </si>
  <si>
    <t>Lossless 75-Ohm vf=1</t>
  </si>
  <si>
    <t>Lossless 50-Ohm vf=1</t>
  </si>
  <si>
    <r>
      <t>LL</t>
    </r>
    <r>
      <rPr>
        <vertAlign val="subscript"/>
        <sz val="11"/>
        <color indexed="8"/>
        <rFont val="Calibri"/>
        <family val="2"/>
      </rPr>
      <t>50v1</t>
    </r>
  </si>
  <si>
    <r>
      <t>LL</t>
    </r>
    <r>
      <rPr>
        <vertAlign val="subscript"/>
        <sz val="11"/>
        <color indexed="8"/>
        <rFont val="Calibri"/>
        <family val="2"/>
      </rPr>
      <t>75v1</t>
    </r>
  </si>
  <si>
    <t>CurrentReflect(Zo,Zt)</t>
  </si>
  <si>
    <t>find current reflection coefficient</t>
  </si>
  <si>
    <t>find voltage reflection coefficient</t>
  </si>
  <si>
    <t>impedance of an L-C-R parallel resonant circuit</t>
  </si>
  <si>
    <t>Medhurst's proximity data</t>
  </si>
  <si>
    <t>LOD:</t>
  </si>
  <si>
    <t>POD:</t>
  </si>
  <si>
    <r>
      <t>L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(len,dia,n,WireDia,MHz)</t>
    </r>
  </si>
  <si>
    <r>
      <t>Q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(len,dia,n,WireDia,MHz)</t>
    </r>
  </si>
  <si>
    <r>
      <t>SRF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(len,dia,n)</t>
    </r>
  </si>
  <si>
    <t>stray capacitance of a single-layer coil in free space</t>
  </si>
  <si>
    <t>inductance of a single-layer coil</t>
  </si>
  <si>
    <t>Q of a single-layer coil</t>
  </si>
  <si>
    <t>Self resonance frequency of a single-layer coil</t>
  </si>
  <si>
    <r>
      <t>find ε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from vf  (relative permittivity from velocity factor)</t>
    </r>
  </si>
  <si>
    <r>
      <t>R</t>
    </r>
    <r>
      <rPr>
        <vertAlign val="subscript"/>
        <sz val="11"/>
        <color indexed="8"/>
        <rFont val="Calibri"/>
        <family val="2"/>
      </rPr>
      <t>coil</t>
    </r>
    <r>
      <rPr>
        <sz val="11"/>
        <color theme="1"/>
        <rFont val="Calibri"/>
        <family val="2"/>
      </rPr>
      <t>(len,dia,n,WireDia,MHz)</t>
    </r>
  </si>
  <si>
    <t>Ltwinlead(dia,sep,MHz,ρ)</t>
  </si>
  <si>
    <t>find twinlead resistance</t>
  </si>
  <si>
    <r>
      <t>R</t>
    </r>
    <r>
      <rPr>
        <vertAlign val="subscript"/>
        <sz val="11"/>
        <color indexed="8"/>
        <rFont val="Calibri"/>
        <family val="2"/>
      </rPr>
      <t>twinlead</t>
    </r>
    <r>
      <rPr>
        <sz val="11"/>
        <color theme="1"/>
        <rFont val="Calibri"/>
        <family val="2"/>
      </rPr>
      <t>(dia,sep,MHz,ρ)</t>
    </r>
  </si>
  <si>
    <t>FindRatioR(dia,MHz,), FindRatioL(dia,MHz,)</t>
  </si>
  <si>
    <t>TLsum(a,b), TLsub(a,b), TLproduct(a,b), TLdiv(n,d)</t>
  </si>
  <si>
    <t>TLreal(x), TLimaginary(x), TLabs(x), TLargument(x)</t>
  </si>
  <si>
    <t>SquareRoot(x), NaturalLog(x), TLsqrt(x), TLexp(x)</t>
  </si>
  <si>
    <t>LinearInterpolation(x,x1,x2,y1,y2), TLcomplex(a,b)</t>
  </si>
  <si>
    <t>complex sinh</t>
  </si>
  <si>
    <t>TwoDimensionalInterpolation, closest, InterFix, GetCell</t>
  </si>
  <si>
    <t>COMPLEX(c1,c2)</t>
  </si>
  <si>
    <t>IMADD(a1,a2)     (or IMSUM)</t>
  </si>
  <si>
    <t>IMSUB(s1,s2)</t>
  </si>
  <si>
    <t>IMMUL(m1,m2)   (or IMPRODUCT)</t>
  </si>
  <si>
    <t>IMDIV(d1,d2)</t>
  </si>
  <si>
    <t>IMABS(x)</t>
  </si>
  <si>
    <t>magnitude of x</t>
  </si>
  <si>
    <t>IMARGUMENT(x)</t>
  </si>
  <si>
    <t>angle of x</t>
  </si>
  <si>
    <t>IMREAL(x)</t>
  </si>
  <si>
    <t>real part of x:  Re(x)</t>
  </si>
  <si>
    <t>IMAGINARY(x)</t>
  </si>
  <si>
    <t>imaginary part of x:  Im(x)</t>
  </si>
  <si>
    <t>IMCOS(x)</t>
  </si>
  <si>
    <t>cosine of x</t>
  </si>
  <si>
    <t>IMSIN(x)</t>
  </si>
  <si>
    <t>sine of x</t>
  </si>
  <si>
    <t>IMLN(x)</t>
  </si>
  <si>
    <t>natural log of x</t>
  </si>
  <si>
    <t>IMLOG10(x)</t>
  </si>
  <si>
    <t>base 10 log of x</t>
  </si>
  <si>
    <t>IMLOG2(x)</t>
  </si>
  <si>
    <t>base 2 log of x</t>
  </si>
  <si>
    <t>IMEXP(x)</t>
  </si>
  <si>
    <t>IMPOWER(x,p)</t>
  </si>
  <si>
    <t>IMSQRT(x)</t>
  </si>
  <si>
    <t>square root of x</t>
  </si>
  <si>
    <t>IMCONJUGATE(x)</t>
  </si>
  <si>
    <t>conjugate of x:  Re(x)-Im(x)*i</t>
  </si>
  <si>
    <t>multiply    m1*m2</t>
  </si>
  <si>
    <t>create a complex number:  c1+c2*i</t>
  </si>
  <si>
    <r>
      <t>exponential of x:  e</t>
    </r>
    <r>
      <rPr>
        <vertAlign val="superscript"/>
        <sz val="11"/>
        <color indexed="8"/>
        <rFont val="Calibri"/>
        <family val="2"/>
      </rPr>
      <t>x</t>
    </r>
  </si>
  <si>
    <r>
      <t>raise x to a power:  x</t>
    </r>
    <r>
      <rPr>
        <vertAlign val="superscript"/>
        <sz val="11"/>
        <color indexed="8"/>
        <rFont val="Calibri"/>
        <family val="2"/>
      </rPr>
      <t>p</t>
    </r>
  </si>
  <si>
    <t>add             a1+a2</t>
  </si>
  <si>
    <t>subtract     s1-s2</t>
  </si>
  <si>
    <t>divide        d1/d2</t>
  </si>
  <si>
    <t>EXCEL standard functions for complex numbers</t>
  </si>
  <si>
    <t>complex cosh</t>
  </si>
  <si>
    <r>
      <t>10</t>
    </r>
    <r>
      <rPr>
        <vertAlign val="superscript"/>
        <sz val="11"/>
        <color indexed="8"/>
        <rFont val="Calibri"/>
        <family val="2"/>
      </rPr>
      <t>X</t>
    </r>
  </si>
  <si>
    <t>*f     This function requires a real number for the frequency.</t>
  </si>
  <si>
    <t>*       Some of the arguments to this function are required to be</t>
  </si>
  <si>
    <t xml:space="preserve">         real numbers.  Mathcad allows complex numbers anywhere,</t>
  </si>
  <si>
    <t xml:space="preserve">         but if you can think of a valid use for a complex number for</t>
  </si>
  <si>
    <t xml:space="preserve">         one of these parameters then you are probably a lot smarter</t>
  </si>
  <si>
    <t xml:space="preserve">         than I am.  You would have to either use Mathcad or recode the</t>
  </si>
  <si>
    <t xml:space="preserve">         VBA function.</t>
  </si>
  <si>
    <t>frequency of L-C resonance, MHz</t>
  </si>
  <si>
    <t>1.00069214540057E-06</t>
  </si>
  <si>
    <t>1.11188016155619E-11</t>
  </si>
  <si>
    <t>1</t>
  </si>
  <si>
    <t>A.C. resistance of a single-layer copper coil</t>
  </si>
  <si>
    <t>permittivity of air or vacuum</t>
  </si>
  <si>
    <t>velocity factor of air or vacuum</t>
  </si>
  <si>
    <r>
      <t>tan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</rPr>
      <t xml:space="preserve"> of air or vacuum</t>
    </r>
  </si>
  <si>
    <t>TLscan, TLdisassemble, TLassemble, Tlsubroutine</t>
  </si>
  <si>
    <t>find twinlead L    (high frequency)</t>
  </si>
  <si>
    <t>find twinlead L    (any frequency)</t>
  </si>
  <si>
    <t>find twinlead C    (high frequency)</t>
  </si>
  <si>
    <t>skin depth for plane surface</t>
  </si>
  <si>
    <t>find twinlead separation    (high frequency)</t>
  </si>
  <si>
    <t>find coax C    (high frequency)</t>
  </si>
  <si>
    <t>find coax L    (high frequency)</t>
  </si>
  <si>
    <t>find coax L    (any frequency)</t>
  </si>
  <si>
    <r>
      <t>Lcoaxial(dia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,dia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,th,ρ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,ρ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,μ</t>
    </r>
    <r>
      <rPr>
        <vertAlign val="subscript"/>
        <sz val="11"/>
        <color indexed="8"/>
        <rFont val="Calibri"/>
        <family val="2"/>
      </rPr>
      <t>cc</t>
    </r>
    <r>
      <rPr>
        <sz val="11"/>
        <color theme="1"/>
        <rFont val="Calibri"/>
        <family val="2"/>
      </rPr>
      <t>,μ</t>
    </r>
    <r>
      <rPr>
        <vertAlign val="subscript"/>
        <sz val="11"/>
        <color indexed="8"/>
        <rFont val="Calibri"/>
        <family val="2"/>
      </rPr>
      <t>di</t>
    </r>
    <r>
      <rPr>
        <sz val="11"/>
        <color theme="1"/>
        <rFont val="Calibri"/>
        <family val="2"/>
      </rPr>
      <t>,μ</t>
    </r>
    <r>
      <rPr>
        <vertAlign val="subscript"/>
        <sz val="11"/>
        <color indexed="8"/>
        <rFont val="Calibri"/>
        <family val="2"/>
      </rPr>
      <t>sh</t>
    </r>
    <r>
      <rPr>
        <sz val="11"/>
        <color theme="1"/>
        <rFont val="Calibri"/>
        <family val="2"/>
      </rPr>
      <t>,MHz)</t>
    </r>
  </si>
  <si>
    <t>find coax shield diameter    (high frequency)</t>
  </si>
  <si>
    <t>LineVout(TL,length,MHz,Ei,Ii)</t>
  </si>
  <si>
    <t>LineIout(TL,length,MHz,Ei,Ii)</t>
  </si>
  <si>
    <t>LineVin(TL,length,MHz,Eo,Io)</t>
  </si>
  <si>
    <t>LineIin(TL,length,MHz,Eo,Io)</t>
  </si>
  <si>
    <t>IMCOSH(x)</t>
  </si>
  <si>
    <t>IMSINH(x)</t>
  </si>
  <si>
    <t>0.83373002513115+0.988897705762865i</t>
  </si>
  <si>
    <t>0.63496391478474+1.29845758141597i</t>
  </si>
  <si>
    <t>7.7259161642735E-07,2.25023827400794E-11,0,0,0,0</t>
  </si>
  <si>
    <t>1.10875226905545E-06,2.04799018432116E-11,0,0,0,0</t>
  </si>
  <si>
    <t>1.03605004486322E-06,1.32584489179384E-11,0,0,0,0</t>
  </si>
  <si>
    <t>4.39749075244289E-07,5.80852237348842E-11,0,0,0,0</t>
  </si>
  <si>
    <t>1.54423304021177E-07,1.65408476296235E-10,0,0,0,0</t>
  </si>
  <si>
    <t>3.33546788499682E-07,5.62626596942449E-11,0,0,0,0</t>
  </si>
  <si>
    <t>2.8528070777033E-07,6.09405115070769E-11,0,0,0,0</t>
  </si>
  <si>
    <t>4.9676697033639E-07,2.7651630274342E-11,0,0,0,0</t>
  </si>
  <si>
    <t>2.42496873513686E-07,5.66457472098978E-11,0,0,0,0</t>
  </si>
  <si>
    <t>5.93174652883586E-07,3.16369375566505E-11,0,0,0,0</t>
  </si>
  <si>
    <t>1.25753646272005E-07,8.84785274447894E-11,0,0,0,0</t>
  </si>
  <si>
    <t>2.43607987681916E-07,1.44913954311607E-10,0.001,0.001,0,5.2062734294778E-06</t>
  </si>
  <si>
    <t>3.2252858014887E-07,1.18240461275463E-10,0.002,0.002,0,4.74590769724298E-06</t>
  </si>
  <si>
    <t>3.97671240531719E-07,8.87723154173227E-11,0.002,0.002,0,3.18929221982739E-06</t>
  </si>
  <si>
    <t>7.59504567402261E-08,7.32483905989924E-11,0,0,0,0</t>
  </si>
  <si>
    <t>1.12111402293412+190.45612220595i</t>
  </si>
  <si>
    <t>Ztwin(dia,sep,vf)</t>
  </si>
  <si>
    <r>
      <t>find twinlead Z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   (high frequency)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</si>
</sst>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00E+00"/>
    <numFmt numFmtId="171" formatCode="0.0000000000E+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1" fillId="0" borderId="0" xfId="53" applyAlignment="1" applyProtection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133350</xdr:rowOff>
    </xdr:from>
    <xdr:to>
      <xdr:col>10</xdr:col>
      <xdr:colOff>600075</xdr:colOff>
      <xdr:row>32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42900" y="323850"/>
          <a:ext cx="6353175" cy="582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time use: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have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Mathcad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available to you then you should use that instead of this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version  of "Transmission Lines by KQ6QV".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if there are any errors on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worksheet.  There should be no #NAME, #VALUE , or ###### errors in colums B and G.  If there are, figure out why.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 2000 and 2003 users might need the Engineering Functions add-in.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probably need to enable macros to get VBA functions to work.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Starting a project: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This is version 12/12/11.  Before beginning a new project, check www.hdtvprimer.com/KQ6QV/HomePage.html to see if a newer version of "Transmission Lines by KQ6QV" is available.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Choose a name appropriate for the project you are beginning, and click "Save as" to save this workbook using that name.  Be sure to choose an appropriate folder.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Delete this text box and begin building your project on this worksheet.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help can be found on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worksheet.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190500</xdr:rowOff>
    </xdr:from>
    <xdr:to>
      <xdr:col>12</xdr:col>
      <xdr:colOff>571500</xdr:colOff>
      <xdr:row>58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52500"/>
          <a:ext cx="9201150" cy="10172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12/12/11 version.  If you have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Mathcad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available to you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should use that instead of this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version  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Transmission Lines by KQ6QV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Macros must be enabled.  Otherwise the VBA functions will not work.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TransmissionLines.html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the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manual.  You might want to save a copy of that file on your computer.  Also you can download some examples.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this program...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All voltages, currents, and impedances are assumed to be complex numbers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So the phase information is included.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The line parameters Zo, vf, L, C, Rs, Gp,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ρ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tan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should be entered as real numbers.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All wire lengths and diameters are measured in meters.  (In many cases the units are irrelevant if they are consistent.)  MKS is standard, but frequency is entered in MHz.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this Excel version, a transmission line type is encoded as a string showing six values separated by commas: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Inductance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  Capacitance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 DC series resistance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  10 MHz series resistance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  DC shunt conductance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5.  10 MHz shunt conductance per meter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a single cell can stand for all the characteristics of the type.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Two VBA functions help manipulate these strings: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TLextract(TL,n)  will return the n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substring in TL.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Example:  TLextract("000,111,222,333,444,555",2) will return "222"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Example:  TLextract(LL300,0) will return "1.00069214540057E-06"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TLmodify(TL,n,a,b)  will modify the n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substring in TL.  The modification is Vnew = Vold * a + b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Example:  TLmodify("000,111,222,333,444,555",4,1,3) will return "000,111,222,333,447,555"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use of "Define Name" is encouraged.  All of the constants on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sheet are named.  The physical constants are in column B and the common transmission lines are in column G.  Columns A and F show the names that were used.  Where Greek or Cyrillic letters were used, it is easiest to copy and paste the names.  Compared to using $A$1 notation, this might be a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little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more work, but the result is a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lot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more readable.  When you define a transmission line type, you should name it.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while Excel preserves the case and subscripting, it ignores them in computations.  Pretend that Excel sees all alphabetic characters as normal lower case.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 Math Refresher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EXCEL uses strings to represent complex numbers.  Inputs to "IM" functions can be either real numbers or complex strings.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IMABS and IMARGUMENT will tell you the magnitude and phase angle of any complex quantity.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You can add or subtract impedances, but you must use IMADD and IMSUB in place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.  Same for voltage and current.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Ohms Law is V = I * Z  (voltage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equals current times impedance), but you must use IMMUL and IMDIV in place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Power is not simply "voltage times current".  Use PfromVI to find it.  (PfromVI discards "reactive power".)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dtvprimer.com/KQ6QV/TransmissionLines.html" TargetMode="External" /><Relationship Id="rId2" Type="http://schemas.openxmlformats.org/officeDocument/2006/relationships/hyperlink" Target="http://www.hdtvprimer.com/KQ6QV/Examples.xls" TargetMode="External" /><Relationship Id="rId3" Type="http://schemas.openxmlformats.org/officeDocument/2006/relationships/hyperlink" Target="http://www.hdtvprimer.com/KQ6QV/HomePage.html" TargetMode="External" /><Relationship Id="rId4" Type="http://schemas.openxmlformats.org/officeDocument/2006/relationships/hyperlink" Target="http://www.hdtvprimer.com/KQ6QV/TransmissionLines.xls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0" width="9.140625" style="0" customWidth="1"/>
  </cols>
  <sheetData>
    <row r="1" spans="1:19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V8" s="5"/>
    </row>
    <row r="9" spans="1:19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K191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8515625" style="0" customWidth="1"/>
    <col min="2" max="2" width="11.8515625" style="0" customWidth="1"/>
    <col min="3" max="3" width="2.140625" style="0" customWidth="1"/>
    <col min="4" max="4" width="29.7109375" style="0" customWidth="1"/>
    <col min="5" max="5" width="4.7109375" style="0" customWidth="1"/>
    <col min="6" max="6" width="11.421875" style="0" customWidth="1"/>
    <col min="7" max="7" width="6.140625" style="0" customWidth="1"/>
    <col min="8" max="8" width="2.8515625" style="0" customWidth="1"/>
    <col min="9" max="10" width="25.8515625" style="0" customWidth="1"/>
    <col min="11" max="11" width="9.140625" style="0" customWidth="1"/>
    <col min="18" max="19" width="9.140625" style="0" customWidth="1"/>
  </cols>
  <sheetData>
    <row r="1" spans="1:115" ht="18">
      <c r="A1" s="2" t="s">
        <v>40</v>
      </c>
      <c r="B1">
        <f>PI()</f>
        <v>3.141592653589793</v>
      </c>
      <c r="C1" s="3" t="s">
        <v>93</v>
      </c>
      <c r="D1" t="s">
        <v>0</v>
      </c>
      <c r="F1" t="s">
        <v>97</v>
      </c>
      <c r="G1" t="str">
        <f>DefineLosslessLine(50,0.66)</f>
        <v>2.52700036717315E-07,1.01080014686926E-10,0,0,0,0</v>
      </c>
      <c r="H1" s="3" t="s">
        <v>93</v>
      </c>
      <c r="I1" t="s">
        <v>94</v>
      </c>
      <c r="L1" s="5" t="s">
        <v>319</v>
      </c>
      <c r="M1" s="5"/>
      <c r="N1" s="5"/>
      <c r="O1" s="5"/>
      <c r="P1" s="5"/>
      <c r="Q1" s="5"/>
      <c r="R1" s="5"/>
      <c r="S1" s="5"/>
      <c r="T1" s="5"/>
      <c r="AA1" s="5" t="s">
        <v>325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</row>
    <row r="2" spans="1:115" ht="18">
      <c r="A2" s="2" t="s">
        <v>292</v>
      </c>
      <c r="B2">
        <f>2.71828182845904</f>
        <v>2.71828182845904</v>
      </c>
      <c r="C2" s="3" t="s">
        <v>93</v>
      </c>
      <c r="D2" s="5" t="s">
        <v>291</v>
      </c>
      <c r="F2" t="s">
        <v>98</v>
      </c>
      <c r="G2" t="str">
        <f>DefineLosslessLine(75,0.66)</f>
        <v>3.79050055075973E-07,6.73866764579508E-11,0,0,0,0</v>
      </c>
      <c r="H2" s="3" t="s">
        <v>93</v>
      </c>
      <c r="I2" t="s">
        <v>95</v>
      </c>
      <c r="L2" s="5" t="s">
        <v>320</v>
      </c>
      <c r="M2" s="5"/>
      <c r="N2" s="5" t="s">
        <v>321</v>
      </c>
      <c r="O2" s="5"/>
      <c r="P2" s="5" t="s">
        <v>322</v>
      </c>
      <c r="Q2" s="5"/>
      <c r="R2" s="5" t="s">
        <v>323</v>
      </c>
      <c r="S2" s="5"/>
      <c r="T2" s="5" t="s">
        <v>385</v>
      </c>
      <c r="V2" s="5" t="s">
        <v>324</v>
      </c>
      <c r="AA2" s="5" t="s">
        <v>326</v>
      </c>
      <c r="AB2" s="5"/>
      <c r="AC2" s="5" t="s">
        <v>327</v>
      </c>
      <c r="AD2" s="5"/>
      <c r="AE2" s="5" t="s">
        <v>328</v>
      </c>
      <c r="AF2" s="5"/>
      <c r="AG2" s="5" t="s">
        <v>329</v>
      </c>
      <c r="AH2" s="5"/>
      <c r="AI2" s="5" t="s">
        <v>330</v>
      </c>
      <c r="AJ2" s="5"/>
      <c r="AK2" s="5" t="s">
        <v>331</v>
      </c>
      <c r="AL2" s="5"/>
      <c r="AM2" s="5" t="s">
        <v>332</v>
      </c>
      <c r="AN2" s="5"/>
      <c r="AO2" s="5" t="s">
        <v>333</v>
      </c>
      <c r="AP2" s="5"/>
      <c r="AQ2" s="5" t="s">
        <v>334</v>
      </c>
      <c r="AR2" s="5"/>
      <c r="AS2" s="5" t="s">
        <v>335</v>
      </c>
      <c r="AT2" s="5"/>
      <c r="AU2" s="5" t="s">
        <v>336</v>
      </c>
      <c r="AV2" s="5"/>
      <c r="AW2" s="5" t="s">
        <v>337</v>
      </c>
      <c r="AX2" s="5"/>
      <c r="AY2" s="5" t="s">
        <v>338</v>
      </c>
      <c r="AZ2" s="5"/>
      <c r="BA2" s="5" t="s">
        <v>339</v>
      </c>
      <c r="BB2" s="5"/>
      <c r="BC2" s="5" t="s">
        <v>340</v>
      </c>
      <c r="BD2" s="5"/>
      <c r="BE2" s="5" t="s">
        <v>341</v>
      </c>
      <c r="BF2" s="5"/>
      <c r="BG2" s="5" t="s">
        <v>342</v>
      </c>
      <c r="BH2" s="5"/>
      <c r="BI2" s="5" t="s">
        <v>343</v>
      </c>
      <c r="BJ2" s="5"/>
      <c r="BK2" s="5" t="s">
        <v>344</v>
      </c>
      <c r="BL2" s="5"/>
      <c r="BM2" s="5" t="s">
        <v>345</v>
      </c>
      <c r="BN2" s="5"/>
      <c r="BO2" s="5" t="s">
        <v>346</v>
      </c>
      <c r="BP2" s="5"/>
      <c r="BQ2" s="5" t="s">
        <v>347</v>
      </c>
      <c r="BR2" s="5"/>
      <c r="BS2" s="5" t="s">
        <v>348</v>
      </c>
      <c r="BT2" s="5"/>
      <c r="BU2" s="5" t="s">
        <v>349</v>
      </c>
      <c r="BV2" s="5"/>
      <c r="BW2" s="5" t="s">
        <v>350</v>
      </c>
      <c r="BX2" s="5"/>
      <c r="BY2" s="5" t="s">
        <v>351</v>
      </c>
      <c r="BZ2" s="5"/>
      <c r="CA2" s="5" t="s">
        <v>352</v>
      </c>
      <c r="CB2" s="5"/>
      <c r="CC2" s="5" t="s">
        <v>353</v>
      </c>
      <c r="CD2" s="5"/>
      <c r="CE2" s="5" t="s">
        <v>354</v>
      </c>
      <c r="CF2" s="5"/>
      <c r="CG2" s="5" t="s">
        <v>355</v>
      </c>
      <c r="CH2" s="5"/>
      <c r="CI2" s="5" t="s">
        <v>356</v>
      </c>
      <c r="CJ2" s="5"/>
      <c r="CK2" s="5" t="s">
        <v>357</v>
      </c>
      <c r="CL2" s="5"/>
      <c r="CM2" s="5" t="s">
        <v>358</v>
      </c>
      <c r="CN2" s="5"/>
      <c r="CO2" s="5" t="s">
        <v>359</v>
      </c>
      <c r="CP2" s="5"/>
      <c r="CQ2" s="5" t="s">
        <v>360</v>
      </c>
      <c r="CR2" s="5"/>
      <c r="CS2" s="5" t="s">
        <v>361</v>
      </c>
      <c r="CT2" s="5"/>
      <c r="CU2" s="5" t="s">
        <v>362</v>
      </c>
      <c r="CV2" s="5"/>
      <c r="CW2" s="5" t="s">
        <v>363</v>
      </c>
      <c r="CX2" s="5"/>
      <c r="CY2" s="5" t="s">
        <v>364</v>
      </c>
      <c r="CZ2" s="5"/>
      <c r="DA2" s="5" t="s">
        <v>365</v>
      </c>
      <c r="DB2" s="5"/>
      <c r="DC2" s="5" t="s">
        <v>366</v>
      </c>
      <c r="DD2" s="5"/>
      <c r="DE2" s="5" t="s">
        <v>367</v>
      </c>
      <c r="DF2" s="5"/>
      <c r="DG2" s="5" t="s">
        <v>368</v>
      </c>
      <c r="DH2" s="5"/>
      <c r="DI2" s="5" t="s">
        <v>369</v>
      </c>
      <c r="DJ2" s="5"/>
      <c r="DK2" s="5"/>
    </row>
    <row r="3" spans="1:115" ht="18">
      <c r="A3" s="2" t="s">
        <v>72</v>
      </c>
      <c r="B3">
        <v>299792458</v>
      </c>
      <c r="C3" s="3" t="s">
        <v>93</v>
      </c>
      <c r="D3" t="s">
        <v>41</v>
      </c>
      <c r="F3" s="5" t="s">
        <v>392</v>
      </c>
      <c r="G3" t="str">
        <f>DefineLosslessLine(50,1)</f>
        <v>1.66782024233428E-07,6.67128096933712E-11,0,0,0,0</v>
      </c>
      <c r="H3" s="3" t="s">
        <v>93</v>
      </c>
      <c r="I3" s="5" t="s">
        <v>391</v>
      </c>
      <c r="K3" s="5"/>
      <c r="L3" s="5" t="s">
        <v>208</v>
      </c>
      <c r="M3" s="5" t="s">
        <v>209</v>
      </c>
      <c r="N3" s="5" t="s">
        <v>208</v>
      </c>
      <c r="O3" s="5" t="s">
        <v>209</v>
      </c>
      <c r="P3" s="5" t="s">
        <v>208</v>
      </c>
      <c r="Q3" s="5" t="s">
        <v>209</v>
      </c>
      <c r="R3" s="5" t="s">
        <v>208</v>
      </c>
      <c r="S3" s="5" t="s">
        <v>209</v>
      </c>
      <c r="T3" s="5" t="s">
        <v>208</v>
      </c>
      <c r="U3" s="5" t="s">
        <v>209</v>
      </c>
      <c r="V3" s="5" t="s">
        <v>210</v>
      </c>
      <c r="AA3" s="5" t="s">
        <v>208</v>
      </c>
      <c r="AB3" s="5" t="s">
        <v>209</v>
      </c>
      <c r="AC3" s="5" t="s">
        <v>208</v>
      </c>
      <c r="AD3" s="5" t="s">
        <v>209</v>
      </c>
      <c r="AE3" s="5" t="s">
        <v>208</v>
      </c>
      <c r="AF3" s="5" t="s">
        <v>209</v>
      </c>
      <c r="AG3" s="5" t="s">
        <v>208</v>
      </c>
      <c r="AH3" s="5" t="s">
        <v>209</v>
      </c>
      <c r="AI3" s="5" t="s">
        <v>208</v>
      </c>
      <c r="AJ3" s="5" t="s">
        <v>209</v>
      </c>
      <c r="AK3" s="5" t="s">
        <v>208</v>
      </c>
      <c r="AL3" s="5" t="s">
        <v>209</v>
      </c>
      <c r="AM3" s="5" t="s">
        <v>208</v>
      </c>
      <c r="AN3" s="5" t="s">
        <v>209</v>
      </c>
      <c r="AO3" s="5" t="s">
        <v>208</v>
      </c>
      <c r="AP3" s="5" t="s">
        <v>209</v>
      </c>
      <c r="AQ3" s="5" t="s">
        <v>208</v>
      </c>
      <c r="AR3" s="5" t="s">
        <v>209</v>
      </c>
      <c r="AS3" s="5" t="s">
        <v>208</v>
      </c>
      <c r="AT3" s="5" t="s">
        <v>209</v>
      </c>
      <c r="AU3" s="5" t="s">
        <v>208</v>
      </c>
      <c r="AV3" s="5" t="s">
        <v>209</v>
      </c>
      <c r="AW3" s="5" t="s">
        <v>208</v>
      </c>
      <c r="AX3" s="5" t="s">
        <v>209</v>
      </c>
      <c r="AY3" s="5" t="s">
        <v>208</v>
      </c>
      <c r="AZ3" s="5" t="s">
        <v>209</v>
      </c>
      <c r="BA3" s="5" t="s">
        <v>208</v>
      </c>
      <c r="BB3" s="5" t="s">
        <v>209</v>
      </c>
      <c r="BC3" s="5" t="s">
        <v>208</v>
      </c>
      <c r="BD3" s="5" t="s">
        <v>209</v>
      </c>
      <c r="BE3" s="5" t="s">
        <v>208</v>
      </c>
      <c r="BF3" s="5" t="s">
        <v>209</v>
      </c>
      <c r="BG3" s="5" t="s">
        <v>208</v>
      </c>
      <c r="BH3" s="5" t="s">
        <v>209</v>
      </c>
      <c r="BI3" s="5" t="s">
        <v>208</v>
      </c>
      <c r="BJ3" s="5" t="s">
        <v>209</v>
      </c>
      <c r="BK3" s="5" t="s">
        <v>208</v>
      </c>
      <c r="BL3" s="5" t="s">
        <v>209</v>
      </c>
      <c r="BM3" s="5" t="s">
        <v>208</v>
      </c>
      <c r="BN3" s="5" t="s">
        <v>209</v>
      </c>
      <c r="BO3" s="5" t="s">
        <v>208</v>
      </c>
      <c r="BP3" s="5" t="s">
        <v>209</v>
      </c>
      <c r="BQ3" s="5" t="s">
        <v>208</v>
      </c>
      <c r="BR3" s="5" t="s">
        <v>209</v>
      </c>
      <c r="BS3" s="5" t="s">
        <v>208</v>
      </c>
      <c r="BT3" s="5" t="s">
        <v>209</v>
      </c>
      <c r="BU3" s="5" t="s">
        <v>208</v>
      </c>
      <c r="BV3" s="5" t="s">
        <v>209</v>
      </c>
      <c r="BW3" s="5" t="s">
        <v>208</v>
      </c>
      <c r="BX3" s="5" t="s">
        <v>209</v>
      </c>
      <c r="BY3" s="5" t="s">
        <v>208</v>
      </c>
      <c r="BZ3" s="5" t="s">
        <v>209</v>
      </c>
      <c r="CA3" s="5" t="s">
        <v>208</v>
      </c>
      <c r="CB3" s="5" t="s">
        <v>209</v>
      </c>
      <c r="CC3" s="5" t="s">
        <v>208</v>
      </c>
      <c r="CD3" s="5" t="s">
        <v>209</v>
      </c>
      <c r="CE3" s="5" t="s">
        <v>208</v>
      </c>
      <c r="CF3" s="5" t="s">
        <v>209</v>
      </c>
      <c r="CG3" s="5" t="s">
        <v>208</v>
      </c>
      <c r="CH3" s="5" t="s">
        <v>209</v>
      </c>
      <c r="CI3" s="5" t="s">
        <v>208</v>
      </c>
      <c r="CJ3" s="5" t="s">
        <v>209</v>
      </c>
      <c r="CK3" s="5" t="s">
        <v>208</v>
      </c>
      <c r="CL3" s="5" t="s">
        <v>209</v>
      </c>
      <c r="CM3" s="5" t="s">
        <v>208</v>
      </c>
      <c r="CN3" s="5" t="s">
        <v>209</v>
      </c>
      <c r="CO3" s="5" t="s">
        <v>208</v>
      </c>
      <c r="CP3" s="5" t="s">
        <v>209</v>
      </c>
      <c r="CQ3" s="5" t="s">
        <v>208</v>
      </c>
      <c r="CR3" s="5" t="s">
        <v>209</v>
      </c>
      <c r="CS3" s="5" t="s">
        <v>208</v>
      </c>
      <c r="CT3" s="5" t="s">
        <v>209</v>
      </c>
      <c r="CU3" s="5" t="s">
        <v>208</v>
      </c>
      <c r="CV3" s="5" t="s">
        <v>209</v>
      </c>
      <c r="CW3" s="5" t="s">
        <v>208</v>
      </c>
      <c r="CX3" s="5" t="s">
        <v>209</v>
      </c>
      <c r="CY3" s="5" t="s">
        <v>208</v>
      </c>
      <c r="CZ3" s="5" t="s">
        <v>209</v>
      </c>
      <c r="DA3" s="5" t="s">
        <v>208</v>
      </c>
      <c r="DB3" s="5" t="s">
        <v>209</v>
      </c>
      <c r="DC3" s="5" t="s">
        <v>208</v>
      </c>
      <c r="DD3" s="5" t="s">
        <v>209</v>
      </c>
      <c r="DE3" s="5"/>
      <c r="DF3" s="5"/>
      <c r="DG3" s="5" t="s">
        <v>208</v>
      </c>
      <c r="DH3" s="5" t="s">
        <v>209</v>
      </c>
      <c r="DI3" s="5" t="s">
        <v>208</v>
      </c>
      <c r="DJ3" s="5" t="s">
        <v>209</v>
      </c>
      <c r="DK3" s="5" t="s">
        <v>210</v>
      </c>
    </row>
    <row r="4" spans="1:115" ht="18">
      <c r="A4" s="4" t="s">
        <v>42</v>
      </c>
      <c r="B4">
        <f>0.000000000008854187827</f>
        <v>8.854187827E-12</v>
      </c>
      <c r="C4" s="3" t="s">
        <v>93</v>
      </c>
      <c r="D4" t="s">
        <v>71</v>
      </c>
      <c r="F4" s="5" t="s">
        <v>393</v>
      </c>
      <c r="G4" t="str">
        <f>DefineLosslessLine(75,1)</f>
        <v>2.50173036350142E-07,4.44752064622475E-11,0,0,0,0</v>
      </c>
      <c r="H4" s="3" t="s">
        <v>93</v>
      </c>
      <c r="I4" s="5" t="s">
        <v>390</v>
      </c>
      <c r="K4" s="5"/>
      <c r="L4" s="5">
        <v>0.8398</v>
      </c>
      <c r="M4" s="5">
        <v>-18900</v>
      </c>
      <c r="N4" s="5">
        <v>0.4262</v>
      </c>
      <c r="O4" s="5">
        <v>-17560</v>
      </c>
      <c r="P4" s="5">
        <v>0.2441</v>
      </c>
      <c r="Q4" s="5">
        <v>-16220</v>
      </c>
      <c r="R4" s="5">
        <v>0.1607</v>
      </c>
      <c r="S4" s="5">
        <v>-14880</v>
      </c>
      <c r="T4">
        <v>0.1135</v>
      </c>
      <c r="U4">
        <v>-13100</v>
      </c>
      <c r="V4" s="5">
        <v>0.2</v>
      </c>
      <c r="AA4" s="5">
        <v>32.92</v>
      </c>
      <c r="AB4" s="5">
        <v>-616.2</v>
      </c>
      <c r="AC4" s="5">
        <v>22.87</v>
      </c>
      <c r="AD4" s="5">
        <v>-665.3</v>
      </c>
      <c r="AE4" s="5">
        <v>18.24</v>
      </c>
      <c r="AF4" s="5">
        <v>-684</v>
      </c>
      <c r="AG4" s="5">
        <v>16.04</v>
      </c>
      <c r="AH4" s="5">
        <v>-692.4</v>
      </c>
      <c r="AI4" s="5">
        <v>15.18</v>
      </c>
      <c r="AJ4" s="5">
        <v>-696.5</v>
      </c>
      <c r="AK4" s="5">
        <v>15.14</v>
      </c>
      <c r="AL4" s="5">
        <v>-698.4</v>
      </c>
      <c r="AM4" s="5">
        <v>15.61</v>
      </c>
      <c r="AN4" s="5">
        <v>-699.2</v>
      </c>
      <c r="AO4" s="5">
        <v>16.43</v>
      </c>
      <c r="AP4" s="5">
        <v>-699.6</v>
      </c>
      <c r="AQ4" s="5">
        <v>17.47</v>
      </c>
      <c r="AR4" s="5">
        <v>-699.7</v>
      </c>
      <c r="AS4" s="5">
        <v>18.65</v>
      </c>
      <c r="AT4" s="5">
        <v>-699.8</v>
      </c>
      <c r="AU4" s="5">
        <v>19.89</v>
      </c>
      <c r="AV4" s="5">
        <v>-700</v>
      </c>
      <c r="AW4" s="5">
        <v>21.14</v>
      </c>
      <c r="AX4" s="5">
        <v>-700.3</v>
      </c>
      <c r="AY4" s="5">
        <v>22.35</v>
      </c>
      <c r="AZ4" s="5">
        <v>-700.7</v>
      </c>
      <c r="BA4" s="5">
        <v>23.48</v>
      </c>
      <c r="BB4" s="5">
        <v>-701.3</v>
      </c>
      <c r="BC4" s="5">
        <v>24.5</v>
      </c>
      <c r="BD4" s="5">
        <v>-702.1</v>
      </c>
      <c r="BE4" s="5">
        <v>25.38</v>
      </c>
      <c r="BF4" s="5">
        <v>-702.9</v>
      </c>
      <c r="BG4" s="5">
        <v>26.1</v>
      </c>
      <c r="BH4" s="5">
        <v>-703.8</v>
      </c>
      <c r="BI4" s="5">
        <v>26.65</v>
      </c>
      <c r="BJ4" s="5">
        <v>-704.8</v>
      </c>
      <c r="BK4" s="5">
        <v>27.03</v>
      </c>
      <c r="BL4" s="5">
        <v>-705.8</v>
      </c>
      <c r="BM4" s="5">
        <v>27.23</v>
      </c>
      <c r="BN4" s="5">
        <v>-706.8</v>
      </c>
      <c r="BO4" s="5">
        <v>27.26</v>
      </c>
      <c r="BP4" s="5">
        <v>-707.9</v>
      </c>
      <c r="BQ4" s="5">
        <v>27.12</v>
      </c>
      <c r="BR4" s="5">
        <v>-708.9</v>
      </c>
      <c r="BS4" s="5">
        <v>26.83</v>
      </c>
      <c r="BT4" s="5">
        <v>-709.7</v>
      </c>
      <c r="BU4" s="5">
        <v>26.4</v>
      </c>
      <c r="BV4" s="5">
        <v>-710.6</v>
      </c>
      <c r="BW4" s="5">
        <v>25.86</v>
      </c>
      <c r="BX4" s="5">
        <v>-711.3</v>
      </c>
      <c r="BY4" s="5">
        <v>25.23</v>
      </c>
      <c r="BZ4" s="5">
        <v>-711.9</v>
      </c>
      <c r="CA4" s="5">
        <v>24.52</v>
      </c>
      <c r="CB4" s="5">
        <v>-712.3</v>
      </c>
      <c r="CC4" s="5">
        <v>23.77</v>
      </c>
      <c r="CD4" s="5">
        <v>-712.6</v>
      </c>
      <c r="CE4" s="5">
        <v>23</v>
      </c>
      <c r="CF4" s="5">
        <v>-712.8</v>
      </c>
      <c r="CG4" s="5">
        <v>22.24</v>
      </c>
      <c r="CH4" s="5">
        <v>-712.8</v>
      </c>
      <c r="CI4" s="5">
        <v>21.5</v>
      </c>
      <c r="CJ4" s="5">
        <v>-712.7</v>
      </c>
      <c r="CK4" s="5">
        <v>20.82</v>
      </c>
      <c r="CL4" s="5">
        <v>-712.5</v>
      </c>
      <c r="CM4" s="5">
        <v>20.2</v>
      </c>
      <c r="CN4" s="5">
        <v>-712.2</v>
      </c>
      <c r="CO4" s="5">
        <v>19.67</v>
      </c>
      <c r="CP4" s="5">
        <v>-711.7</v>
      </c>
      <c r="CQ4" s="5">
        <v>19.24</v>
      </c>
      <c r="CR4" s="5">
        <v>-711.2</v>
      </c>
      <c r="CS4" s="5">
        <v>18.91</v>
      </c>
      <c r="CT4" s="5">
        <v>-710.7</v>
      </c>
      <c r="CU4" s="5">
        <v>18.7</v>
      </c>
      <c r="CV4" s="5">
        <v>-710.1</v>
      </c>
      <c r="CW4" s="5">
        <v>18.6</v>
      </c>
      <c r="CX4" s="5">
        <v>-709.4</v>
      </c>
      <c r="CY4" s="5">
        <v>18.62</v>
      </c>
      <c r="CZ4" s="5">
        <v>-708.8</v>
      </c>
      <c r="DA4" s="5">
        <v>18.74</v>
      </c>
      <c r="DB4" s="5">
        <v>-708.3</v>
      </c>
      <c r="DC4" s="5">
        <v>18.96</v>
      </c>
      <c r="DD4" s="5">
        <v>-707.7</v>
      </c>
      <c r="DE4" s="5">
        <v>19.27</v>
      </c>
      <c r="DF4" s="5">
        <v>-707.3</v>
      </c>
      <c r="DG4" s="5">
        <v>19.65</v>
      </c>
      <c r="DH4" s="5">
        <v>-706.9</v>
      </c>
      <c r="DI4" s="5">
        <v>20.09</v>
      </c>
      <c r="DJ4" s="5">
        <v>-706.5</v>
      </c>
      <c r="DK4" s="5">
        <v>3</v>
      </c>
    </row>
    <row r="5" spans="1:115" ht="18">
      <c r="A5" s="4" t="s">
        <v>43</v>
      </c>
      <c r="B5">
        <f>0.0000004*π</f>
        <v>1.2566370614359173E-06</v>
      </c>
      <c r="C5" s="3" t="s">
        <v>93</v>
      </c>
      <c r="D5" t="s">
        <v>70</v>
      </c>
      <c r="F5" t="s">
        <v>99</v>
      </c>
      <c r="G5" t="str">
        <f>DefineLosslessLine(300,1)</f>
        <v>1.00069214540057E-06,1.11188016155619E-11,0,0,0,0</v>
      </c>
      <c r="H5" s="3" t="s">
        <v>93</v>
      </c>
      <c r="I5" t="s">
        <v>96</v>
      </c>
      <c r="L5" s="5">
        <v>1.353</v>
      </c>
      <c r="M5" s="5">
        <v>-9413</v>
      </c>
      <c r="N5" s="5">
        <v>0.8031</v>
      </c>
      <c r="O5" s="5">
        <v>-8746</v>
      </c>
      <c r="P5" s="5">
        <v>0.5575</v>
      </c>
      <c r="Q5" s="5">
        <v>-8079</v>
      </c>
      <c r="R5" s="5">
        <v>0.4418</v>
      </c>
      <c r="S5" s="5">
        <v>-7410</v>
      </c>
      <c r="T5">
        <v>0.3619</v>
      </c>
      <c r="U5">
        <v>-6522</v>
      </c>
      <c r="V5" s="5">
        <v>0.4</v>
      </c>
      <c r="AA5" s="5">
        <v>38.8</v>
      </c>
      <c r="AB5" s="5">
        <v>-446.8</v>
      </c>
      <c r="AC5" s="5">
        <v>27.57</v>
      </c>
      <c r="AD5" s="5">
        <v>-487.4</v>
      </c>
      <c r="AE5" s="5">
        <v>22.69</v>
      </c>
      <c r="AF5" s="5">
        <v>-501.8</v>
      </c>
      <c r="AG5" s="5">
        <v>20.73</v>
      </c>
      <c r="AH5" s="5">
        <v>-507.7</v>
      </c>
      <c r="AI5" s="5">
        <v>20.36</v>
      </c>
      <c r="AJ5" s="5">
        <v>-510.1</v>
      </c>
      <c r="AK5" s="5">
        <v>20.94</v>
      </c>
      <c r="AL5" s="5">
        <v>-510.9</v>
      </c>
      <c r="AM5" s="5">
        <v>22.14</v>
      </c>
      <c r="AN5" s="5">
        <v>-511</v>
      </c>
      <c r="AO5" s="5">
        <v>23.72</v>
      </c>
      <c r="AP5" s="5">
        <v>-511</v>
      </c>
      <c r="AQ5" s="5">
        <v>25.52</v>
      </c>
      <c r="AR5" s="5">
        <v>-511</v>
      </c>
      <c r="AS5" s="5">
        <v>27.4</v>
      </c>
      <c r="AT5" s="5">
        <v>-511.2</v>
      </c>
      <c r="AU5" s="5">
        <v>29.26</v>
      </c>
      <c r="AV5" s="5">
        <v>-511.7</v>
      </c>
      <c r="AW5" s="5">
        <v>31.02</v>
      </c>
      <c r="AX5" s="5">
        <v>-512.5</v>
      </c>
      <c r="AY5" s="5">
        <v>32.6</v>
      </c>
      <c r="AZ5" s="5">
        <v>-513.5</v>
      </c>
      <c r="BA5" s="5">
        <v>33.95</v>
      </c>
      <c r="BB5" s="5">
        <v>-514.7</v>
      </c>
      <c r="BC5" s="5">
        <v>35.04</v>
      </c>
      <c r="BD5" s="5">
        <v>-516</v>
      </c>
      <c r="BE5" s="5">
        <v>35.84</v>
      </c>
      <c r="BF5" s="5">
        <v>-517.5</v>
      </c>
      <c r="BG5" s="5">
        <v>36.34</v>
      </c>
      <c r="BH5" s="5">
        <v>-519.1</v>
      </c>
      <c r="BI5" s="5">
        <v>36.53</v>
      </c>
      <c r="BJ5" s="5">
        <v>-520.6</v>
      </c>
      <c r="BK5" s="5">
        <v>36.44</v>
      </c>
      <c r="BL5" s="5">
        <v>-522.1</v>
      </c>
      <c r="BM5" s="5">
        <v>36.07</v>
      </c>
      <c r="BN5" s="5">
        <v>-523.5</v>
      </c>
      <c r="BO5" s="5">
        <v>35.46</v>
      </c>
      <c r="BP5" s="5">
        <v>-524.8</v>
      </c>
      <c r="BQ5" s="5">
        <v>34.65</v>
      </c>
      <c r="BR5" s="5">
        <v>-525.9</v>
      </c>
      <c r="BS5" s="5">
        <v>33.69</v>
      </c>
      <c r="BT5" s="5">
        <v>-526.7</v>
      </c>
      <c r="BU5" s="5">
        <v>32.61</v>
      </c>
      <c r="BV5" s="5">
        <v>-527.4</v>
      </c>
      <c r="BW5" s="5">
        <v>31.46</v>
      </c>
      <c r="BX5" s="5">
        <v>-527.8</v>
      </c>
      <c r="BY5" s="5">
        <v>30.3</v>
      </c>
      <c r="BZ5" s="5">
        <v>-527.9</v>
      </c>
      <c r="CA5" s="5">
        <v>29.18</v>
      </c>
      <c r="CB5" s="5">
        <v>-527.8</v>
      </c>
      <c r="CC5" s="5">
        <v>28.12</v>
      </c>
      <c r="CD5" s="5">
        <v>-527.5</v>
      </c>
      <c r="CE5" s="5">
        <v>27.18</v>
      </c>
      <c r="CF5" s="5">
        <v>-527</v>
      </c>
      <c r="CG5" s="5">
        <v>26.38</v>
      </c>
      <c r="CH5" s="5">
        <v>-526.4</v>
      </c>
      <c r="CI5" s="5">
        <v>25.75</v>
      </c>
      <c r="CJ5" s="5">
        <v>-525.6</v>
      </c>
      <c r="CK5" s="5">
        <v>25.3</v>
      </c>
      <c r="CL5" s="5">
        <v>-524.7</v>
      </c>
      <c r="CM5" s="5">
        <v>25.05</v>
      </c>
      <c r="CN5" s="5">
        <v>-523.8</v>
      </c>
      <c r="CO5" s="5">
        <v>25</v>
      </c>
      <c r="CP5" s="5">
        <v>-522.9</v>
      </c>
      <c r="CQ5" s="5">
        <v>25.13</v>
      </c>
      <c r="CR5" s="5">
        <v>-522</v>
      </c>
      <c r="CS5" s="5">
        <v>25.44</v>
      </c>
      <c r="CT5" s="5">
        <v>-521.2</v>
      </c>
      <c r="CU5" s="5">
        <v>25.9</v>
      </c>
      <c r="CV5" s="5">
        <v>-520.5</v>
      </c>
      <c r="CW5" s="5">
        <v>26.49</v>
      </c>
      <c r="CX5" s="5">
        <v>-519.9</v>
      </c>
      <c r="CY5" s="5">
        <v>27.17</v>
      </c>
      <c r="CZ5" s="5">
        <v>-519.4</v>
      </c>
      <c r="DA5" s="5">
        <v>27.91</v>
      </c>
      <c r="DB5" s="5">
        <v>-519.1</v>
      </c>
      <c r="DC5" s="5">
        <v>28.68</v>
      </c>
      <c r="DD5" s="5">
        <v>-519</v>
      </c>
      <c r="DE5" s="5">
        <v>29.44</v>
      </c>
      <c r="DF5" s="5">
        <v>-519</v>
      </c>
      <c r="DG5" s="5">
        <v>30.15</v>
      </c>
      <c r="DH5" s="5">
        <v>-519.2</v>
      </c>
      <c r="DI5" s="5">
        <v>30.8</v>
      </c>
      <c r="DJ5" s="5">
        <v>-519.6</v>
      </c>
      <c r="DK5" s="5">
        <v>3.4</v>
      </c>
    </row>
    <row r="6" spans="1:115" ht="15">
      <c r="A6" t="s">
        <v>8</v>
      </c>
      <c r="B6">
        <f>0.0254</f>
        <v>0.0254</v>
      </c>
      <c r="C6" s="3" t="s">
        <v>93</v>
      </c>
      <c r="D6" t="s">
        <v>12</v>
      </c>
      <c r="K6" s="5"/>
      <c r="L6" s="5">
        <v>1.975</v>
      </c>
      <c r="M6" s="5">
        <v>-6229</v>
      </c>
      <c r="N6" s="5">
        <v>1.322</v>
      </c>
      <c r="O6" s="5">
        <v>-5788</v>
      </c>
      <c r="P6" s="5">
        <v>1.026</v>
      </c>
      <c r="Q6" s="5">
        <v>-5346</v>
      </c>
      <c r="R6" s="5">
        <v>0.8843</v>
      </c>
      <c r="S6" s="5">
        <v>-4904</v>
      </c>
      <c r="T6">
        <v>0.7653</v>
      </c>
      <c r="U6">
        <v>-4317</v>
      </c>
      <c r="V6" s="5">
        <v>0.6</v>
      </c>
      <c r="AA6" s="5">
        <v>45.7</v>
      </c>
      <c r="AB6" s="5">
        <v>-297.6</v>
      </c>
      <c r="AC6" s="5">
        <v>33.24</v>
      </c>
      <c r="AD6" s="5">
        <v>-330.7</v>
      </c>
      <c r="AE6" s="5">
        <v>28.32</v>
      </c>
      <c r="AF6" s="5">
        <v>-341.1</v>
      </c>
      <c r="AG6" s="5">
        <v>26.84</v>
      </c>
      <c r="AH6" s="5">
        <v>-344.4</v>
      </c>
      <c r="AI6" s="5">
        <v>27.25</v>
      </c>
      <c r="AJ6" s="5">
        <v>-345.1</v>
      </c>
      <c r="AK6" s="5">
        <v>28.8</v>
      </c>
      <c r="AL6" s="5">
        <v>-344.8</v>
      </c>
      <c r="AM6" s="5">
        <v>31.05</v>
      </c>
      <c r="AN6" s="5">
        <v>-344.4</v>
      </c>
      <c r="AO6" s="5">
        <v>33.68</v>
      </c>
      <c r="AP6" s="5">
        <v>-344.2</v>
      </c>
      <c r="AQ6" s="5">
        <v>36.43</v>
      </c>
      <c r="AR6" s="5">
        <v>-344.4</v>
      </c>
      <c r="AS6" s="5">
        <v>39.14</v>
      </c>
      <c r="AT6" s="5">
        <v>-345.1</v>
      </c>
      <c r="AU6" s="5">
        <v>41.64</v>
      </c>
      <c r="AV6" s="5">
        <v>-346.3</v>
      </c>
      <c r="AW6" s="5">
        <v>43.83</v>
      </c>
      <c r="AX6" s="5">
        <v>-347.8</v>
      </c>
      <c r="AY6" s="5">
        <v>45.61</v>
      </c>
      <c r="AZ6" s="5">
        <v>-349.7</v>
      </c>
      <c r="BA6" s="5">
        <v>46.93</v>
      </c>
      <c r="BB6" s="5">
        <v>-351.8</v>
      </c>
      <c r="BC6" s="5">
        <v>47.75</v>
      </c>
      <c r="BD6" s="5">
        <v>-354</v>
      </c>
      <c r="BE6" s="5">
        <v>48.08</v>
      </c>
      <c r="BF6" s="5">
        <v>-356.2</v>
      </c>
      <c r="BG6" s="5">
        <v>47.93</v>
      </c>
      <c r="BH6" s="5">
        <v>-358.4</v>
      </c>
      <c r="BI6" s="5">
        <v>47.35</v>
      </c>
      <c r="BJ6" s="5">
        <v>-360.5</v>
      </c>
      <c r="BK6" s="5">
        <v>46.38</v>
      </c>
      <c r="BL6" s="5">
        <v>-362.2</v>
      </c>
      <c r="BM6" s="5">
        <v>45.11</v>
      </c>
      <c r="BN6" s="5">
        <v>-363.7</v>
      </c>
      <c r="BO6" s="5">
        <v>43.61</v>
      </c>
      <c r="BP6" s="5">
        <v>-364.8</v>
      </c>
      <c r="BQ6" s="5">
        <v>41.97</v>
      </c>
      <c r="BR6" s="5">
        <v>-365.5</v>
      </c>
      <c r="BS6" s="5">
        <v>40.28</v>
      </c>
      <c r="BT6" s="5">
        <v>-365.8</v>
      </c>
      <c r="BU6" s="5">
        <v>38.62</v>
      </c>
      <c r="BV6" s="5">
        <v>-365.7</v>
      </c>
      <c r="BW6" s="5">
        <v>37.08</v>
      </c>
      <c r="BX6" s="5">
        <v>-365.3</v>
      </c>
      <c r="BY6" s="5">
        <v>35.71</v>
      </c>
      <c r="BZ6" s="5">
        <v>-364.6</v>
      </c>
      <c r="CA6" s="5">
        <v>34.59</v>
      </c>
      <c r="CB6" s="5">
        <v>-363.6</v>
      </c>
      <c r="CC6" s="5">
        <v>33.75</v>
      </c>
      <c r="CD6" s="5">
        <v>-362.4</v>
      </c>
      <c r="CE6" s="5">
        <v>33.22</v>
      </c>
      <c r="CF6" s="5">
        <v>-361.1</v>
      </c>
      <c r="CG6" s="5">
        <v>33.01</v>
      </c>
      <c r="CH6" s="5">
        <v>-359.7</v>
      </c>
      <c r="CI6" s="5">
        <v>33.11</v>
      </c>
      <c r="CJ6" s="5">
        <v>-358.4</v>
      </c>
      <c r="CK6" s="5">
        <v>33.51</v>
      </c>
      <c r="CL6" s="5">
        <v>-357.2</v>
      </c>
      <c r="CM6" s="5">
        <v>34.16</v>
      </c>
      <c r="CN6" s="5">
        <v>-356.1</v>
      </c>
      <c r="CO6" s="5">
        <v>35.03</v>
      </c>
      <c r="CP6" s="5">
        <v>-355.2</v>
      </c>
      <c r="CQ6" s="5">
        <v>36.04</v>
      </c>
      <c r="CR6" s="5">
        <v>-354.6</v>
      </c>
      <c r="CS6" s="5">
        <v>37.14</v>
      </c>
      <c r="CT6" s="5">
        <v>-354.2</v>
      </c>
      <c r="CU6" s="5">
        <v>38.27</v>
      </c>
      <c r="CV6" s="5">
        <v>-354.1</v>
      </c>
      <c r="CW6" s="5">
        <v>39.36</v>
      </c>
      <c r="CX6" s="5">
        <v>-354.3</v>
      </c>
      <c r="CY6" s="5">
        <v>40.35</v>
      </c>
      <c r="CZ6" s="5">
        <v>-354.7</v>
      </c>
      <c r="DA6" s="5">
        <v>41.2</v>
      </c>
      <c r="DB6" s="5">
        <v>-355.4</v>
      </c>
      <c r="DC6" s="5">
        <v>41.86</v>
      </c>
      <c r="DD6" s="5">
        <v>-356.1</v>
      </c>
      <c r="DE6" s="5">
        <v>42.31</v>
      </c>
      <c r="DF6" s="5">
        <v>-357</v>
      </c>
      <c r="DG6" s="5">
        <v>42.53</v>
      </c>
      <c r="DH6" s="5">
        <v>-358</v>
      </c>
      <c r="DI6" s="5">
        <v>42.52</v>
      </c>
      <c r="DJ6" s="5">
        <v>-358.9</v>
      </c>
      <c r="DK6" s="5">
        <v>3.8</v>
      </c>
    </row>
    <row r="7" spans="1:115" ht="15">
      <c r="A7" t="s">
        <v>9</v>
      </c>
      <c r="B7">
        <f>1/mpi</f>
        <v>39.37007874015748</v>
      </c>
      <c r="C7" s="3" t="s">
        <v>93</v>
      </c>
      <c r="D7" t="s">
        <v>13</v>
      </c>
      <c r="F7" t="s">
        <v>73</v>
      </c>
      <c r="G7" t="str">
        <f>Pecoax(75,0.66,21,0.11,3.2-clad(2.2))</f>
        <v>3.79050055075973E-07,6.73866764579508E-11,0.0364173228345,0.406679588282308,0,2.78652194964002E-06</v>
      </c>
      <c r="H7" s="3" t="s">
        <v>93</v>
      </c>
      <c r="I7" t="s">
        <v>105</v>
      </c>
      <c r="J7" t="s">
        <v>100</v>
      </c>
      <c r="K7" s="5"/>
      <c r="L7" s="5">
        <v>2.738</v>
      </c>
      <c r="M7" s="5">
        <v>-4623</v>
      </c>
      <c r="N7" s="5">
        <v>1.999</v>
      </c>
      <c r="O7" s="5">
        <v>-4295</v>
      </c>
      <c r="P7" s="5">
        <v>1.66</v>
      </c>
      <c r="Q7" s="5">
        <v>-3968</v>
      </c>
      <c r="R7" s="5">
        <v>1.495</v>
      </c>
      <c r="S7" s="5">
        <v>-3639</v>
      </c>
      <c r="T7">
        <v>1.329</v>
      </c>
      <c r="U7">
        <v>-3204</v>
      </c>
      <c r="V7" s="5">
        <v>0.8</v>
      </c>
      <c r="AA7" s="5">
        <v>53.93</v>
      </c>
      <c r="AB7" s="5">
        <v>-160.4</v>
      </c>
      <c r="AC7" s="5">
        <v>40.21</v>
      </c>
      <c r="AD7" s="5">
        <v>-186.5</v>
      </c>
      <c r="AE7" s="5">
        <v>35.49</v>
      </c>
      <c r="AF7" s="5">
        <v>-192.7</v>
      </c>
      <c r="AG7" s="5">
        <v>34.84</v>
      </c>
      <c r="AH7" s="5">
        <v>-193.4</v>
      </c>
      <c r="AI7" s="5">
        <v>36.49</v>
      </c>
      <c r="AJ7" s="5">
        <v>-192.4</v>
      </c>
      <c r="AK7" s="5">
        <v>39.45</v>
      </c>
      <c r="AL7" s="5">
        <v>-191.2</v>
      </c>
      <c r="AM7" s="5">
        <v>43.13</v>
      </c>
      <c r="AN7" s="5">
        <v>-190.5</v>
      </c>
      <c r="AO7" s="5">
        <v>47.09</v>
      </c>
      <c r="AP7" s="5">
        <v>-190.4</v>
      </c>
      <c r="AQ7" s="5">
        <v>50.99</v>
      </c>
      <c r="AR7" s="5">
        <v>-191.3</v>
      </c>
      <c r="AS7" s="5">
        <v>54.57</v>
      </c>
      <c r="AT7" s="5">
        <v>-192.9</v>
      </c>
      <c r="AU7" s="5">
        <v>57.61</v>
      </c>
      <c r="AV7" s="5">
        <v>-195.1</v>
      </c>
      <c r="AW7" s="5">
        <v>59.99</v>
      </c>
      <c r="AX7" s="5">
        <v>-197.8</v>
      </c>
      <c r="AY7" s="5">
        <v>61.61</v>
      </c>
      <c r="AZ7" s="5">
        <v>-200.9</v>
      </c>
      <c r="BA7" s="5">
        <v>62.44</v>
      </c>
      <c r="BB7" s="5">
        <v>-204.1</v>
      </c>
      <c r="BC7" s="5">
        <v>62.5</v>
      </c>
      <c r="BD7" s="5">
        <v>-207.3</v>
      </c>
      <c r="BE7" s="5">
        <v>61.84</v>
      </c>
      <c r="BF7" s="5">
        <v>-210.2</v>
      </c>
      <c r="BG7" s="5">
        <v>60.55</v>
      </c>
      <c r="BH7" s="5">
        <v>-212.8</v>
      </c>
      <c r="BI7" s="5">
        <v>58.77</v>
      </c>
      <c r="BJ7" s="5">
        <v>-214.9</v>
      </c>
      <c r="BK7" s="5">
        <v>56.62</v>
      </c>
      <c r="BL7" s="5">
        <v>-216.5</v>
      </c>
      <c r="BM7" s="5">
        <v>54.27</v>
      </c>
      <c r="BN7" s="5">
        <v>-217.4</v>
      </c>
      <c r="BO7" s="5">
        <v>51.86</v>
      </c>
      <c r="BP7" s="5">
        <v>-217.7</v>
      </c>
      <c r="BQ7" s="5">
        <v>49.53</v>
      </c>
      <c r="BR7" s="5">
        <v>-217.4</v>
      </c>
      <c r="BS7" s="5">
        <v>47.43</v>
      </c>
      <c r="BT7" s="5">
        <v>-216.6</v>
      </c>
      <c r="BU7" s="5">
        <v>45.66</v>
      </c>
      <c r="BV7" s="5">
        <v>-215.4</v>
      </c>
      <c r="BW7" s="5">
        <v>44.31</v>
      </c>
      <c r="BX7" s="5">
        <v>-213.7</v>
      </c>
      <c r="BY7" s="5">
        <v>43.44</v>
      </c>
      <c r="BZ7" s="5">
        <v>-211.9</v>
      </c>
      <c r="CA7" s="5">
        <v>43.08</v>
      </c>
      <c r="CB7" s="5">
        <v>-210</v>
      </c>
      <c r="CC7" s="5">
        <v>43.21</v>
      </c>
      <c r="CD7" s="5">
        <v>-208.1</v>
      </c>
      <c r="CE7" s="5">
        <v>43.81</v>
      </c>
      <c r="CF7" s="5">
        <v>-206.3</v>
      </c>
      <c r="CG7" s="5">
        <v>44.81</v>
      </c>
      <c r="CH7" s="5">
        <v>-204.8</v>
      </c>
      <c r="CI7" s="5">
        <v>46.12</v>
      </c>
      <c r="CJ7" s="5">
        <v>-203.7</v>
      </c>
      <c r="CK7" s="5">
        <v>47.63</v>
      </c>
      <c r="CL7" s="5">
        <v>-202.9</v>
      </c>
      <c r="CM7" s="5">
        <v>49.25</v>
      </c>
      <c r="CN7" s="5">
        <v>-202.6</v>
      </c>
      <c r="CO7" s="5">
        <v>50.85</v>
      </c>
      <c r="CP7" s="5">
        <v>-202.7</v>
      </c>
      <c r="CQ7" s="5">
        <v>52.33</v>
      </c>
      <c r="CR7" s="5">
        <v>-203.2</v>
      </c>
      <c r="CS7" s="5">
        <v>53.59</v>
      </c>
      <c r="CT7" s="5">
        <v>-204</v>
      </c>
      <c r="CU7" s="5">
        <v>54.56</v>
      </c>
      <c r="CV7" s="5">
        <v>-205.2</v>
      </c>
      <c r="CW7" s="5">
        <v>55.2</v>
      </c>
      <c r="CX7" s="5">
        <v>-206.4</v>
      </c>
      <c r="CY7" s="5">
        <v>55.47</v>
      </c>
      <c r="CZ7" s="5">
        <v>-207.8</v>
      </c>
      <c r="DA7" s="5">
        <v>55.38</v>
      </c>
      <c r="DB7" s="5">
        <v>-209.2</v>
      </c>
      <c r="DC7" s="5">
        <v>54.95</v>
      </c>
      <c r="DD7" s="5">
        <v>-210.4</v>
      </c>
      <c r="DE7" s="5">
        <v>54.22</v>
      </c>
      <c r="DF7" s="5">
        <v>-211.5</v>
      </c>
      <c r="DG7" s="5">
        <v>53.26</v>
      </c>
      <c r="DH7" s="5">
        <v>-212.3</v>
      </c>
      <c r="DI7" s="5">
        <v>52.15</v>
      </c>
      <c r="DJ7" s="5">
        <v>-212.9</v>
      </c>
      <c r="DK7" s="5">
        <v>4.2</v>
      </c>
    </row>
    <row r="8" spans="1:115" ht="15">
      <c r="A8" t="s">
        <v>10</v>
      </c>
      <c r="B8">
        <f>mpi*12</f>
        <v>0.30479999999999996</v>
      </c>
      <c r="C8" s="3" t="s">
        <v>93</v>
      </c>
      <c r="D8" t="s">
        <v>14</v>
      </c>
      <c r="F8" t="s">
        <v>74</v>
      </c>
      <c r="G8" t="str">
        <f>Pecoax(75,0.82,18,0.28,0.64)</f>
        <v>3.05089068719686E-07,5.42380566612774E-11,0.030183727034,0.341825157958996,0,8.43353281437046E-07</v>
      </c>
      <c r="H8" s="3" t="s">
        <v>93</v>
      </c>
      <c r="I8" t="s">
        <v>106</v>
      </c>
      <c r="J8" t="s">
        <v>101</v>
      </c>
      <c r="K8" s="5"/>
      <c r="L8" s="5">
        <v>3.478</v>
      </c>
      <c r="M8" s="5">
        <v>-3550</v>
      </c>
      <c r="N8" s="5">
        <v>2.699</v>
      </c>
      <c r="O8" s="5">
        <v>-3296</v>
      </c>
      <c r="P8" s="5">
        <v>2.335</v>
      </c>
      <c r="Q8" s="5">
        <v>-3042</v>
      </c>
      <c r="R8" s="5">
        <v>2.154</v>
      </c>
      <c r="S8" s="5">
        <v>-2786</v>
      </c>
      <c r="T8">
        <v>2.058</v>
      </c>
      <c r="U8">
        <v>-2530</v>
      </c>
      <c r="V8" s="5">
        <v>1</v>
      </c>
      <c r="AA8" s="5">
        <v>63.94</v>
      </c>
      <c r="AB8" s="5">
        <v>-29.59</v>
      </c>
      <c r="AC8" s="5">
        <v>48.95</v>
      </c>
      <c r="AD8" s="5">
        <v>-48.58</v>
      </c>
      <c r="AE8" s="5">
        <v>44.75</v>
      </c>
      <c r="AF8" s="5">
        <v>-50.44</v>
      </c>
      <c r="AG8" s="5">
        <v>45.52</v>
      </c>
      <c r="AH8" s="5">
        <v>-48.24</v>
      </c>
      <c r="AI8" s="5">
        <v>48.96</v>
      </c>
      <c r="AJ8" s="5">
        <v>-45.56</v>
      </c>
      <c r="AK8" s="5">
        <v>53.88</v>
      </c>
      <c r="AL8" s="5">
        <v>-43.63</v>
      </c>
      <c r="AM8" s="5">
        <v>59.46</v>
      </c>
      <c r="AN8" s="5">
        <v>-42.93</v>
      </c>
      <c r="AO8" s="5">
        <v>65.06</v>
      </c>
      <c r="AP8" s="5">
        <v>-43.6</v>
      </c>
      <c r="AQ8" s="5">
        <v>70.22</v>
      </c>
      <c r="AR8" s="5">
        <v>-45.57</v>
      </c>
      <c r="AS8" s="5">
        <v>74.56</v>
      </c>
      <c r="AT8" s="5">
        <v>-48.64</v>
      </c>
      <c r="AU8" s="5">
        <v>77.86</v>
      </c>
      <c r="AV8" s="5">
        <v>-52.5</v>
      </c>
      <c r="AW8" s="5">
        <v>79.96</v>
      </c>
      <c r="AX8" s="5">
        <v>-56.87</v>
      </c>
      <c r="AY8" s="5">
        <v>80.84</v>
      </c>
      <c r="AZ8" s="5">
        <v>-61.37</v>
      </c>
      <c r="BA8" s="5">
        <v>80.54</v>
      </c>
      <c r="BB8" s="5">
        <v>-65.71</v>
      </c>
      <c r="BC8" s="5">
        <v>79.19</v>
      </c>
      <c r="BD8" s="5">
        <v>-69.67</v>
      </c>
      <c r="BE8" s="5">
        <v>76.97</v>
      </c>
      <c r="BF8" s="5">
        <v>-72.94</v>
      </c>
      <c r="BG8" s="5">
        <v>74.1</v>
      </c>
      <c r="BH8" s="5">
        <v>-75.38</v>
      </c>
      <c r="BI8" s="5">
        <v>70.85</v>
      </c>
      <c r="BJ8" s="5">
        <v>-76.89</v>
      </c>
      <c r="BK8" s="5">
        <v>67.45</v>
      </c>
      <c r="BL8" s="5">
        <v>-77.45</v>
      </c>
      <c r="BM8" s="5">
        <v>64.17</v>
      </c>
      <c r="BN8" s="5">
        <v>-77.13</v>
      </c>
      <c r="BO8" s="5">
        <v>61.23</v>
      </c>
      <c r="BP8" s="5">
        <v>-75.97</v>
      </c>
      <c r="BQ8" s="5">
        <v>58.8</v>
      </c>
      <c r="BR8" s="5">
        <v>-74.12</v>
      </c>
      <c r="BS8" s="5">
        <v>57.04</v>
      </c>
      <c r="BT8" s="5">
        <v>-71.78</v>
      </c>
      <c r="BU8" s="5">
        <v>56.04</v>
      </c>
      <c r="BV8" s="5">
        <v>-69.14</v>
      </c>
      <c r="BW8" s="5">
        <v>55.81</v>
      </c>
      <c r="BX8" s="5">
        <v>-66.39</v>
      </c>
      <c r="BY8" s="5">
        <v>56.34</v>
      </c>
      <c r="BZ8" s="5">
        <v>-63.76</v>
      </c>
      <c r="CA8" s="5">
        <v>57.54</v>
      </c>
      <c r="CB8" s="5">
        <v>-61.49</v>
      </c>
      <c r="CC8" s="5">
        <v>59.27</v>
      </c>
      <c r="CD8" s="5">
        <v>-59.71</v>
      </c>
      <c r="CE8" s="5">
        <v>61.37</v>
      </c>
      <c r="CF8" s="5">
        <v>-58.54</v>
      </c>
      <c r="CG8" s="5">
        <v>63.66</v>
      </c>
      <c r="CH8" s="5">
        <v>-57.98</v>
      </c>
      <c r="CI8" s="5">
        <v>65.93</v>
      </c>
      <c r="CJ8" s="5">
        <v>-58.11</v>
      </c>
      <c r="CK8" s="5">
        <v>68</v>
      </c>
      <c r="CL8" s="5">
        <v>-58.87</v>
      </c>
      <c r="CM8" s="5">
        <v>69.73</v>
      </c>
      <c r="CN8" s="5">
        <v>-60.14</v>
      </c>
      <c r="CO8" s="5">
        <v>70.99</v>
      </c>
      <c r="CP8" s="5">
        <v>-61.77</v>
      </c>
      <c r="CQ8" s="5">
        <v>71.7</v>
      </c>
      <c r="CR8" s="5">
        <v>-63.67</v>
      </c>
      <c r="CS8" s="5">
        <v>71.85</v>
      </c>
      <c r="CT8" s="5">
        <v>-65.62</v>
      </c>
      <c r="CU8" s="5">
        <v>71.44</v>
      </c>
      <c r="CV8" s="5">
        <v>-67.51</v>
      </c>
      <c r="CW8" s="5">
        <v>70.55</v>
      </c>
      <c r="CX8" s="5">
        <v>-69.15</v>
      </c>
      <c r="CY8" s="5">
        <v>69.26</v>
      </c>
      <c r="CZ8" s="5">
        <v>-70.43</v>
      </c>
      <c r="DA8" s="5">
        <v>67.71</v>
      </c>
      <c r="DB8" s="5">
        <v>-71.26</v>
      </c>
      <c r="DC8" s="5">
        <v>66.02</v>
      </c>
      <c r="DD8" s="5">
        <v>-71.61</v>
      </c>
      <c r="DE8" s="5">
        <v>64.34</v>
      </c>
      <c r="DF8" s="5">
        <v>-71.48</v>
      </c>
      <c r="DG8" s="5">
        <v>62.82</v>
      </c>
      <c r="DH8" s="5">
        <v>-70.96</v>
      </c>
      <c r="DI8" s="5">
        <v>61.53</v>
      </c>
      <c r="DJ8" s="5">
        <v>-69.98</v>
      </c>
      <c r="DK8" s="5">
        <v>4.6</v>
      </c>
    </row>
    <row r="9" spans="1:115" ht="15">
      <c r="A9" t="s">
        <v>11</v>
      </c>
      <c r="B9">
        <f>1/mpf</f>
        <v>3.280839895013124</v>
      </c>
      <c r="C9" s="3" t="s">
        <v>93</v>
      </c>
      <c r="D9" t="s">
        <v>15</v>
      </c>
      <c r="F9" t="s">
        <v>75</v>
      </c>
      <c r="G9" t="str">
        <f>Pecoax(52,0.66,13,0.12,0.19)</f>
        <v>2.62808038186008E-07,9.71923218143521E-11,0.0101706036745,0.197972390069662,0,4.01902204275004E-06</v>
      </c>
      <c r="H9" s="3" t="s">
        <v>93</v>
      </c>
      <c r="I9" t="s">
        <v>107</v>
      </c>
      <c r="J9" t="s">
        <v>100</v>
      </c>
      <c r="K9" s="5"/>
      <c r="L9" s="5">
        <v>4.524</v>
      </c>
      <c r="M9" s="5">
        <v>-2910</v>
      </c>
      <c r="N9" s="5">
        <v>3.673</v>
      </c>
      <c r="O9" s="5">
        <v>-2702</v>
      </c>
      <c r="P9" s="5">
        <v>3.272</v>
      </c>
      <c r="Q9" s="5">
        <v>-2493</v>
      </c>
      <c r="R9" s="5">
        <v>3.07</v>
      </c>
      <c r="S9" s="5">
        <v>-2284</v>
      </c>
      <c r="T9">
        <v>2.96</v>
      </c>
      <c r="U9">
        <v>-2073</v>
      </c>
      <c r="V9" s="5">
        <v>1.2</v>
      </c>
      <c r="AA9" s="5">
        <v>76.36</v>
      </c>
      <c r="AB9" s="5">
        <v>99.89</v>
      </c>
      <c r="AC9" s="5">
        <v>60.11</v>
      </c>
      <c r="AD9" s="5">
        <v>88.32</v>
      </c>
      <c r="AE9" s="5">
        <v>56.95</v>
      </c>
      <c r="AF9" s="5">
        <v>91.39</v>
      </c>
      <c r="AG9" s="5">
        <v>59.88</v>
      </c>
      <c r="AH9" s="5">
        <v>96.63</v>
      </c>
      <c r="AI9" s="5">
        <v>65.93</v>
      </c>
      <c r="AJ9" s="5">
        <v>101</v>
      </c>
      <c r="AK9" s="5">
        <v>73.56</v>
      </c>
      <c r="AL9" s="5">
        <v>103.4</v>
      </c>
      <c r="AM9" s="5">
        <v>81.57</v>
      </c>
      <c r="AN9" s="5">
        <v>103.4</v>
      </c>
      <c r="AO9" s="5">
        <v>89.09</v>
      </c>
      <c r="AP9" s="5">
        <v>101.3</v>
      </c>
      <c r="AQ9" s="5">
        <v>95.47</v>
      </c>
      <c r="AR9" s="5">
        <v>97.43</v>
      </c>
      <c r="AS9" s="5">
        <v>100.3</v>
      </c>
      <c r="AT9" s="5">
        <v>92.2</v>
      </c>
      <c r="AU9" s="5">
        <v>103.2</v>
      </c>
      <c r="AV9" s="5">
        <v>86.13</v>
      </c>
      <c r="AW9" s="5">
        <v>104.3</v>
      </c>
      <c r="AX9" s="5">
        <v>79.84</v>
      </c>
      <c r="AY9" s="5">
        <v>103.6</v>
      </c>
      <c r="AZ9" s="5">
        <v>73.83</v>
      </c>
      <c r="BA9" s="5">
        <v>101.4</v>
      </c>
      <c r="BB9" s="5">
        <v>68.58</v>
      </c>
      <c r="BC9" s="5">
        <v>97.95</v>
      </c>
      <c r="BD9" s="5">
        <v>64.38</v>
      </c>
      <c r="BE9" s="5">
        <v>93.68</v>
      </c>
      <c r="BF9" s="5">
        <v>61.54</v>
      </c>
      <c r="BG9" s="5">
        <v>88.99</v>
      </c>
      <c r="BH9" s="5">
        <v>60.13</v>
      </c>
      <c r="BI9" s="5">
        <v>84.32</v>
      </c>
      <c r="BJ9" s="5">
        <v>60.13</v>
      </c>
      <c r="BK9" s="5">
        <v>80.04</v>
      </c>
      <c r="BL9" s="5">
        <v>61.41</v>
      </c>
      <c r="BM9" s="5">
        <v>76.47</v>
      </c>
      <c r="BN9" s="5">
        <v>63.79</v>
      </c>
      <c r="BO9" s="5">
        <v>73.88</v>
      </c>
      <c r="BP9" s="5">
        <v>67.02</v>
      </c>
      <c r="BQ9" s="5">
        <v>72.42</v>
      </c>
      <c r="BR9" s="5">
        <v>70.72</v>
      </c>
      <c r="BS9" s="5">
        <v>72.15</v>
      </c>
      <c r="BT9" s="5">
        <v>74.54</v>
      </c>
      <c r="BU9" s="5">
        <v>73.01</v>
      </c>
      <c r="BV9" s="5">
        <v>78.16</v>
      </c>
      <c r="BW9" s="5">
        <v>74.87</v>
      </c>
      <c r="BX9" s="5">
        <v>81.22</v>
      </c>
      <c r="BY9" s="5">
        <v>77.48</v>
      </c>
      <c r="BZ9" s="5">
        <v>83.5</v>
      </c>
      <c r="CA9" s="5">
        <v>80.57</v>
      </c>
      <c r="CB9" s="5">
        <v>84.83</v>
      </c>
      <c r="CC9" s="5">
        <v>83.81</v>
      </c>
      <c r="CD9" s="5">
        <v>85.13</v>
      </c>
      <c r="CE9" s="5">
        <v>86.88</v>
      </c>
      <c r="CF9" s="5">
        <v>84.44</v>
      </c>
      <c r="CG9" s="5">
        <v>89.51</v>
      </c>
      <c r="CH9" s="5">
        <v>82.9</v>
      </c>
      <c r="CI9" s="5">
        <v>91.46</v>
      </c>
      <c r="CJ9" s="5">
        <v>80.68</v>
      </c>
      <c r="CK9" s="5">
        <v>92.6</v>
      </c>
      <c r="CL9" s="5">
        <v>78.06</v>
      </c>
      <c r="CM9" s="5">
        <v>92.87</v>
      </c>
      <c r="CN9" s="5">
        <v>75.3</v>
      </c>
      <c r="CO9" s="5">
        <v>92.3</v>
      </c>
      <c r="CP9" s="5">
        <v>72.68</v>
      </c>
      <c r="CQ9" s="5">
        <v>90.99</v>
      </c>
      <c r="CR9" s="5">
        <v>70.43</v>
      </c>
      <c r="CS9" s="5">
        <v>89.11</v>
      </c>
      <c r="CT9" s="5">
        <v>68.74</v>
      </c>
      <c r="CU9" s="5">
        <v>86.85</v>
      </c>
      <c r="CV9" s="5">
        <v>67.74</v>
      </c>
      <c r="CW9" s="5">
        <v>84.46</v>
      </c>
      <c r="CX9" s="5">
        <v>67.47</v>
      </c>
      <c r="CY9" s="5">
        <v>82.17</v>
      </c>
      <c r="CZ9" s="5">
        <v>67.96</v>
      </c>
      <c r="DA9" s="5">
        <v>80.19</v>
      </c>
      <c r="DB9" s="5">
        <v>68.97</v>
      </c>
      <c r="DC9" s="5">
        <v>78.64</v>
      </c>
      <c r="DD9" s="5">
        <v>70.64</v>
      </c>
      <c r="DE9" s="5">
        <v>77.72</v>
      </c>
      <c r="DF9" s="5">
        <v>72.66</v>
      </c>
      <c r="DG9" s="5">
        <v>77.46</v>
      </c>
      <c r="DH9" s="5">
        <v>74.78</v>
      </c>
      <c r="DI9" s="5">
        <v>77.88</v>
      </c>
      <c r="DJ9" s="5">
        <v>76.87</v>
      </c>
      <c r="DK9" s="5">
        <v>5</v>
      </c>
    </row>
    <row r="10" spans="1:115" ht="15">
      <c r="A10" t="s">
        <v>1</v>
      </c>
      <c r="B10" s="1">
        <v>1E-12</v>
      </c>
      <c r="F10" t="s">
        <v>76</v>
      </c>
      <c r="G10" t="str">
        <f>Pecoax(50,0.86,10,0.2,0.134-clad(0.08))</f>
        <v>1.9393258631794E-07,7.75730345271759E-11,0.0083333333333,0.132864349303184,0,8.71653870451835E-07</v>
      </c>
      <c r="H10" s="3" t="s">
        <v>93</v>
      </c>
      <c r="I10" t="s">
        <v>108</v>
      </c>
      <c r="J10" t="s">
        <v>101</v>
      </c>
      <c r="K10" s="5"/>
      <c r="L10" s="5">
        <v>5.747</v>
      </c>
      <c r="M10" s="5">
        <v>-2445</v>
      </c>
      <c r="N10" s="5">
        <v>4.828</v>
      </c>
      <c r="O10" s="5">
        <v>-2270</v>
      </c>
      <c r="P10" s="5">
        <v>4.39</v>
      </c>
      <c r="Q10" s="5">
        <v>-2095</v>
      </c>
      <c r="R10" s="5">
        <v>4.168</v>
      </c>
      <c r="S10" s="5">
        <v>-1918</v>
      </c>
      <c r="T10">
        <v>4.045</v>
      </c>
      <c r="U10">
        <v>-1742</v>
      </c>
      <c r="V10" s="5">
        <v>1.4</v>
      </c>
      <c r="AA10" s="5">
        <v>92.16</v>
      </c>
      <c r="AB10" s="5">
        <v>232.5</v>
      </c>
      <c r="AC10" s="5">
        <v>74.66</v>
      </c>
      <c r="AD10" s="5">
        <v>229.1</v>
      </c>
      <c r="AE10" s="5">
        <v>73.42</v>
      </c>
      <c r="AF10" s="5">
        <v>237.9</v>
      </c>
      <c r="AG10" s="5">
        <v>79.57</v>
      </c>
      <c r="AH10" s="5">
        <v>246.6</v>
      </c>
      <c r="AI10" s="5">
        <v>89.38</v>
      </c>
      <c r="AJ10" s="5">
        <v>252.5</v>
      </c>
      <c r="AK10" s="5">
        <v>100.6</v>
      </c>
      <c r="AL10" s="5">
        <v>254.7</v>
      </c>
      <c r="AM10" s="5">
        <v>111.7</v>
      </c>
      <c r="AN10" s="5">
        <v>253.3</v>
      </c>
      <c r="AO10" s="5">
        <v>121.3</v>
      </c>
      <c r="AP10" s="5">
        <v>248.7</v>
      </c>
      <c r="AQ10" s="5">
        <v>128.6</v>
      </c>
      <c r="AR10" s="5">
        <v>241.8</v>
      </c>
      <c r="AS10" s="5">
        <v>133.2</v>
      </c>
      <c r="AT10" s="5">
        <v>233.5</v>
      </c>
      <c r="AU10" s="5">
        <v>134.9</v>
      </c>
      <c r="AV10" s="5">
        <v>224.7</v>
      </c>
      <c r="AW10" s="5">
        <v>133.9</v>
      </c>
      <c r="AX10" s="5">
        <v>216.4</v>
      </c>
      <c r="AY10" s="5">
        <v>130.6</v>
      </c>
      <c r="AZ10" s="5">
        <v>209.2</v>
      </c>
      <c r="BA10" s="5">
        <v>125.5</v>
      </c>
      <c r="BB10" s="5">
        <v>203.8</v>
      </c>
      <c r="BC10" s="5">
        <v>119.4</v>
      </c>
      <c r="BD10" s="5">
        <v>200.3</v>
      </c>
      <c r="BE10" s="5">
        <v>112.8</v>
      </c>
      <c r="BF10" s="5">
        <v>199</v>
      </c>
      <c r="BG10" s="5">
        <v>106.5</v>
      </c>
      <c r="BH10" s="5">
        <v>199.8</v>
      </c>
      <c r="BI10" s="5">
        <v>101</v>
      </c>
      <c r="BJ10" s="5">
        <v>202.4</v>
      </c>
      <c r="BK10" s="5">
        <v>96.76</v>
      </c>
      <c r="BL10" s="5">
        <v>206.4</v>
      </c>
      <c r="BM10" s="5">
        <v>94.15</v>
      </c>
      <c r="BN10" s="5">
        <v>211.4</v>
      </c>
      <c r="BO10" s="5">
        <v>93.32</v>
      </c>
      <c r="BP10" s="5">
        <v>216.8</v>
      </c>
      <c r="BQ10" s="5">
        <v>94.23</v>
      </c>
      <c r="BR10" s="5">
        <v>221.9</v>
      </c>
      <c r="BS10" s="5">
        <v>96.69</v>
      </c>
      <c r="BT10" s="5">
        <v>226.3</v>
      </c>
      <c r="BU10" s="5">
        <v>100.3</v>
      </c>
      <c r="BV10" s="5">
        <v>229.6</v>
      </c>
      <c r="BW10" s="5">
        <v>104.7</v>
      </c>
      <c r="BX10" s="5">
        <v>231.3</v>
      </c>
      <c r="BY10" s="5">
        <v>109.2</v>
      </c>
      <c r="BZ10" s="5">
        <v>231.6</v>
      </c>
      <c r="CA10" s="5">
        <v>113.5</v>
      </c>
      <c r="CB10" s="5">
        <v>230.3</v>
      </c>
      <c r="CC10" s="5">
        <v>116.9</v>
      </c>
      <c r="CD10" s="5">
        <v>227.8</v>
      </c>
      <c r="CE10" s="5">
        <v>119.2</v>
      </c>
      <c r="CF10" s="5">
        <v>224.5</v>
      </c>
      <c r="CG10" s="5">
        <v>120.3</v>
      </c>
      <c r="CH10" s="5">
        <v>220.6</v>
      </c>
      <c r="CI10" s="5">
        <v>120</v>
      </c>
      <c r="CJ10" s="5">
        <v>216.8</v>
      </c>
      <c r="CK10" s="5">
        <v>118.5</v>
      </c>
      <c r="CL10" s="5">
        <v>213.4</v>
      </c>
      <c r="CM10" s="5">
        <v>116.1</v>
      </c>
      <c r="CN10" s="5">
        <v>210.8</v>
      </c>
      <c r="CO10" s="5">
        <v>113</v>
      </c>
      <c r="CP10" s="5">
        <v>209.2</v>
      </c>
      <c r="CQ10" s="5">
        <v>109.7</v>
      </c>
      <c r="CR10" s="5">
        <v>208.6</v>
      </c>
      <c r="CS10" s="5">
        <v>106.4</v>
      </c>
      <c r="CT10" s="5">
        <v>209.2</v>
      </c>
      <c r="CU10" s="5">
        <v>103.7</v>
      </c>
      <c r="CV10" s="5">
        <v>210.7</v>
      </c>
      <c r="CW10" s="5">
        <v>101.6</v>
      </c>
      <c r="CX10" s="5">
        <v>213</v>
      </c>
      <c r="CY10" s="5">
        <v>100.4</v>
      </c>
      <c r="CZ10" s="5">
        <v>216</v>
      </c>
      <c r="DA10" s="5">
        <v>100.3</v>
      </c>
      <c r="DB10" s="5">
        <v>219</v>
      </c>
      <c r="DC10" s="5">
        <v>101.2</v>
      </c>
      <c r="DD10" s="5">
        <v>221.8</v>
      </c>
      <c r="DE10" s="5">
        <v>102.9</v>
      </c>
      <c r="DF10" s="5">
        <v>224.1</v>
      </c>
      <c r="DG10" s="5">
        <v>105.3</v>
      </c>
      <c r="DH10" s="5">
        <v>225.7</v>
      </c>
      <c r="DI10" s="5">
        <v>108</v>
      </c>
      <c r="DJ10" s="5">
        <v>226.4</v>
      </c>
      <c r="DK10" s="5">
        <v>5.4</v>
      </c>
    </row>
    <row r="11" spans="1:115" ht="15">
      <c r="A11" t="s">
        <v>2</v>
      </c>
      <c r="B11" s="1">
        <v>1E-09</v>
      </c>
      <c r="F11" t="s">
        <v>77</v>
      </c>
      <c r="G11" t="str">
        <f>Pecoax(50,0.84,10,0.18,0.09)</f>
        <v>1.98550028849319E-07,7.94200115397277E-11,0.0088582677165,0.153084639613528,0,1.05754388167296E-06</v>
      </c>
      <c r="H11" s="3" t="s">
        <v>93</v>
      </c>
      <c r="I11" t="s">
        <v>108</v>
      </c>
      <c r="J11" t="s">
        <v>101</v>
      </c>
      <c r="K11" s="5"/>
      <c r="L11" s="5">
        <v>7.16</v>
      </c>
      <c r="M11" s="5">
        <v>-2088</v>
      </c>
      <c r="N11" s="5">
        <v>6.174</v>
      </c>
      <c r="O11" s="5">
        <v>-1939</v>
      </c>
      <c r="P11" s="5">
        <v>5.701</v>
      </c>
      <c r="Q11" s="5">
        <v>-1789</v>
      </c>
      <c r="R11" s="5">
        <v>5.458</v>
      </c>
      <c r="S11" s="5">
        <v>-1639</v>
      </c>
      <c r="T11">
        <v>5.322</v>
      </c>
      <c r="U11">
        <v>-1487</v>
      </c>
      <c r="V11" s="5">
        <v>1.6</v>
      </c>
      <c r="AA11" s="5">
        <v>112.9</v>
      </c>
      <c r="AB11" s="5">
        <v>373.4</v>
      </c>
      <c r="AC11" s="5">
        <v>94.21</v>
      </c>
      <c r="AD11" s="5">
        <v>379.6</v>
      </c>
      <c r="AE11" s="5">
        <v>96.13</v>
      </c>
      <c r="AF11" s="5">
        <v>395.1</v>
      </c>
      <c r="AG11" s="5">
        <v>107.2</v>
      </c>
      <c r="AH11" s="5">
        <v>407.7</v>
      </c>
      <c r="AI11" s="5">
        <v>122.4</v>
      </c>
      <c r="AJ11" s="5">
        <v>414.8</v>
      </c>
      <c r="AK11" s="5">
        <v>138.5</v>
      </c>
      <c r="AL11" s="5">
        <v>415.8</v>
      </c>
      <c r="AM11" s="5">
        <v>153.2</v>
      </c>
      <c r="AN11" s="5">
        <v>411.3</v>
      </c>
      <c r="AO11" s="5">
        <v>164.8</v>
      </c>
      <c r="AP11" s="5">
        <v>402.8</v>
      </c>
      <c r="AQ11" s="5">
        <v>172.4</v>
      </c>
      <c r="AR11" s="5">
        <v>391.5</v>
      </c>
      <c r="AS11" s="5">
        <v>175.5</v>
      </c>
      <c r="AT11" s="5">
        <v>379.3</v>
      </c>
      <c r="AU11" s="5">
        <v>174.5</v>
      </c>
      <c r="AV11" s="5">
        <v>367.6</v>
      </c>
      <c r="AW11" s="5">
        <v>170</v>
      </c>
      <c r="AX11" s="5">
        <v>357.6</v>
      </c>
      <c r="AY11" s="5">
        <v>162.8</v>
      </c>
      <c r="AZ11" s="5">
        <v>350.1</v>
      </c>
      <c r="BA11" s="5">
        <v>154.2</v>
      </c>
      <c r="BB11" s="5">
        <v>345.6</v>
      </c>
      <c r="BC11" s="5">
        <v>145</v>
      </c>
      <c r="BD11" s="5">
        <v>344.4</v>
      </c>
      <c r="BE11" s="5">
        <v>136.4</v>
      </c>
      <c r="BF11" s="5">
        <v>346.1</v>
      </c>
      <c r="BG11" s="5">
        <v>129.3</v>
      </c>
      <c r="BH11" s="5">
        <v>350.5</v>
      </c>
      <c r="BI11" s="5">
        <v>124.2</v>
      </c>
      <c r="BJ11" s="5">
        <v>356.7</v>
      </c>
      <c r="BK11" s="5">
        <v>121.7</v>
      </c>
      <c r="BL11" s="5">
        <v>364</v>
      </c>
      <c r="BM11" s="5">
        <v>121.9</v>
      </c>
      <c r="BN11" s="5">
        <v>371.5</v>
      </c>
      <c r="BO11" s="5">
        <v>124.6</v>
      </c>
      <c r="BP11" s="5">
        <v>378.2</v>
      </c>
      <c r="BQ11" s="5">
        <v>129.3</v>
      </c>
      <c r="BR11" s="5">
        <v>383.3</v>
      </c>
      <c r="BS11" s="5">
        <v>135.3</v>
      </c>
      <c r="BT11" s="5">
        <v>386.3</v>
      </c>
      <c r="BU11" s="5">
        <v>141.7</v>
      </c>
      <c r="BV11" s="5">
        <v>387</v>
      </c>
      <c r="BW11" s="5">
        <v>147.7</v>
      </c>
      <c r="BX11" s="5">
        <v>385.4</v>
      </c>
      <c r="BY11" s="5">
        <v>152.5</v>
      </c>
      <c r="BZ11" s="5">
        <v>381.8</v>
      </c>
      <c r="CA11" s="5">
        <v>155.7</v>
      </c>
      <c r="CB11" s="5">
        <v>377</v>
      </c>
      <c r="CC11" s="5">
        <v>156.9</v>
      </c>
      <c r="CD11" s="5">
        <v>371.6</v>
      </c>
      <c r="CE11" s="5">
        <v>156.1</v>
      </c>
      <c r="CF11" s="5">
        <v>366.3</v>
      </c>
      <c r="CG11" s="5">
        <v>153.6</v>
      </c>
      <c r="CH11" s="5">
        <v>361.8</v>
      </c>
      <c r="CI11" s="5">
        <v>149.8</v>
      </c>
      <c r="CJ11" s="5">
        <v>358.6</v>
      </c>
      <c r="CK11" s="5">
        <v>145.2</v>
      </c>
      <c r="CL11" s="5">
        <v>357</v>
      </c>
      <c r="CM11" s="5">
        <v>140.5</v>
      </c>
      <c r="CN11" s="5">
        <v>357</v>
      </c>
      <c r="CO11" s="5">
        <v>136.3</v>
      </c>
      <c r="CP11" s="5">
        <v>358.4</v>
      </c>
      <c r="CQ11" s="5">
        <v>133</v>
      </c>
      <c r="CR11" s="5">
        <v>361.5</v>
      </c>
      <c r="CS11" s="5">
        <v>130.9</v>
      </c>
      <c r="CT11" s="5">
        <v>365.4</v>
      </c>
      <c r="CU11" s="5">
        <v>130.5</v>
      </c>
      <c r="CV11" s="5">
        <v>369.7</v>
      </c>
      <c r="CW11" s="5">
        <v>131.5</v>
      </c>
      <c r="CX11" s="5">
        <v>373.8</v>
      </c>
      <c r="CY11" s="5">
        <v>133.9</v>
      </c>
      <c r="CZ11" s="5">
        <v>377.1</v>
      </c>
      <c r="DA11" s="5">
        <v>137.3</v>
      </c>
      <c r="DB11" s="5">
        <v>379.3</v>
      </c>
      <c r="DC11" s="5">
        <v>141.1</v>
      </c>
      <c r="DD11" s="5">
        <v>380.1</v>
      </c>
      <c r="DE11" s="5">
        <v>144.9</v>
      </c>
      <c r="DF11" s="5">
        <v>379.5</v>
      </c>
      <c r="DG11" s="5">
        <v>148.2</v>
      </c>
      <c r="DH11" s="5">
        <v>377.6</v>
      </c>
      <c r="DI11" s="5">
        <v>150.4</v>
      </c>
      <c r="DJ11" s="5">
        <v>374.8</v>
      </c>
      <c r="DK11" s="5">
        <v>5.8</v>
      </c>
    </row>
    <row r="12" spans="1:115" ht="15">
      <c r="A12" t="s">
        <v>3</v>
      </c>
      <c r="B12" s="1">
        <v>1E-06</v>
      </c>
      <c r="F12" t="s">
        <v>78</v>
      </c>
      <c r="G12" t="str">
        <f>Pecoax(50,0.86,15,0.28,0.32)</f>
        <v>1.9393258631794E-07,7.75730345271759E-11,0.01968503937,0.284430536156851,0,8.71653870451835E-07</v>
      </c>
      <c r="H12" s="3" t="s">
        <v>93</v>
      </c>
      <c r="I12" t="s">
        <v>109</v>
      </c>
      <c r="J12" t="s">
        <v>101</v>
      </c>
      <c r="K12" s="5"/>
      <c r="L12" s="5">
        <v>8.777</v>
      </c>
      <c r="M12" s="5">
        <v>-1805</v>
      </c>
      <c r="N12" s="5">
        <v>7.724</v>
      </c>
      <c r="O12" s="5">
        <v>-1676</v>
      </c>
      <c r="P12" s="5">
        <v>7.216</v>
      </c>
      <c r="Q12" s="5">
        <v>-1546</v>
      </c>
      <c r="R12" s="5">
        <v>6.954</v>
      </c>
      <c r="S12" s="5">
        <v>-1416</v>
      </c>
      <c r="T12">
        <v>6.804</v>
      </c>
      <c r="U12">
        <v>-1285</v>
      </c>
      <c r="V12" s="5">
        <v>1.8</v>
      </c>
      <c r="AA12" s="5">
        <v>141</v>
      </c>
      <c r="AB12" s="5">
        <v>529</v>
      </c>
      <c r="AC12" s="5">
        <v>121.4</v>
      </c>
      <c r="AD12" s="5">
        <v>546.9</v>
      </c>
      <c r="AE12" s="5">
        <v>128.5</v>
      </c>
      <c r="AF12" s="5">
        <v>570.8</v>
      </c>
      <c r="AG12" s="5">
        <v>147.1</v>
      </c>
      <c r="AH12" s="5">
        <v>587.7</v>
      </c>
      <c r="AI12" s="5">
        <v>170</v>
      </c>
      <c r="AJ12" s="5">
        <v>595</v>
      </c>
      <c r="AK12" s="5">
        <v>192.7</v>
      </c>
      <c r="AL12" s="5">
        <v>592.9</v>
      </c>
      <c r="AM12" s="5">
        <v>211.6</v>
      </c>
      <c r="AN12" s="5">
        <v>583.3</v>
      </c>
      <c r="AO12" s="5">
        <v>224.6</v>
      </c>
      <c r="AP12" s="5">
        <v>568.4</v>
      </c>
      <c r="AQ12" s="5">
        <v>230.8</v>
      </c>
      <c r="AR12" s="5">
        <v>551.3</v>
      </c>
      <c r="AS12" s="5">
        <v>230.5</v>
      </c>
      <c r="AT12" s="5">
        <v>534.5</v>
      </c>
      <c r="AU12" s="5">
        <v>224.8</v>
      </c>
      <c r="AV12" s="5">
        <v>519.9</v>
      </c>
      <c r="AW12" s="5">
        <v>214.9</v>
      </c>
      <c r="AX12" s="5">
        <v>509.1</v>
      </c>
      <c r="AY12" s="5">
        <v>202.8</v>
      </c>
      <c r="AZ12" s="5">
        <v>502.9</v>
      </c>
      <c r="BA12" s="5">
        <v>190</v>
      </c>
      <c r="BB12" s="5">
        <v>501.4</v>
      </c>
      <c r="BC12" s="5">
        <v>178.1</v>
      </c>
      <c r="BD12" s="5">
        <v>504.4</v>
      </c>
      <c r="BE12" s="5">
        <v>168.5</v>
      </c>
      <c r="BF12" s="5">
        <v>511.1</v>
      </c>
      <c r="BG12" s="5">
        <v>162.3</v>
      </c>
      <c r="BH12" s="5">
        <v>520.4</v>
      </c>
      <c r="BI12" s="5">
        <v>160</v>
      </c>
      <c r="BJ12" s="5">
        <v>531</v>
      </c>
      <c r="BK12" s="5">
        <v>161.7</v>
      </c>
      <c r="BL12" s="5">
        <v>541.2</v>
      </c>
      <c r="BM12" s="5">
        <v>166.9</v>
      </c>
      <c r="BN12" s="5">
        <v>549.8</v>
      </c>
      <c r="BO12" s="5">
        <v>174.7</v>
      </c>
      <c r="BP12" s="5">
        <v>555.6</v>
      </c>
      <c r="BQ12" s="5">
        <v>183.7</v>
      </c>
      <c r="BR12" s="5">
        <v>557.9</v>
      </c>
      <c r="BS12" s="5">
        <v>192.6</v>
      </c>
      <c r="BT12" s="5">
        <v>556.6</v>
      </c>
      <c r="BU12" s="5">
        <v>200</v>
      </c>
      <c r="BV12" s="5">
        <v>552.2</v>
      </c>
      <c r="BW12" s="5">
        <v>205</v>
      </c>
      <c r="BX12" s="5">
        <v>545.5</v>
      </c>
      <c r="BY12" s="5">
        <v>207</v>
      </c>
      <c r="BZ12" s="5">
        <v>537.9</v>
      </c>
      <c r="CA12" s="5">
        <v>206</v>
      </c>
      <c r="CB12" s="5">
        <v>530.3</v>
      </c>
      <c r="CC12" s="5">
        <v>202.3</v>
      </c>
      <c r="CD12" s="5">
        <v>523.9</v>
      </c>
      <c r="CE12" s="5">
        <v>196.8</v>
      </c>
      <c r="CF12" s="5">
        <v>519.6</v>
      </c>
      <c r="CG12" s="5">
        <v>190.3</v>
      </c>
      <c r="CH12" s="5">
        <v>517.7</v>
      </c>
      <c r="CI12" s="5">
        <v>183.7</v>
      </c>
      <c r="CJ12" s="5">
        <v>518.4</v>
      </c>
      <c r="CK12" s="5">
        <v>178</v>
      </c>
      <c r="CL12" s="5">
        <v>520.9</v>
      </c>
      <c r="CM12" s="5">
        <v>173.8</v>
      </c>
      <c r="CN12" s="5">
        <v>525.8</v>
      </c>
      <c r="CO12" s="5">
        <v>171.8</v>
      </c>
      <c r="CP12" s="5">
        <v>531.7</v>
      </c>
      <c r="CQ12" s="5">
        <v>172.3</v>
      </c>
      <c r="CR12" s="5">
        <v>537.7</v>
      </c>
      <c r="CS12" s="5">
        <v>174.9</v>
      </c>
      <c r="CT12" s="5">
        <v>543</v>
      </c>
      <c r="CU12" s="5">
        <v>179.3</v>
      </c>
      <c r="CV12" s="5">
        <v>546.9</v>
      </c>
      <c r="CW12" s="5">
        <v>184.6</v>
      </c>
      <c r="CX12" s="5">
        <v>548.6</v>
      </c>
      <c r="CY12" s="5">
        <v>190.2</v>
      </c>
      <c r="CZ12" s="5">
        <v>548.2</v>
      </c>
      <c r="DA12" s="5">
        <v>194.9</v>
      </c>
      <c r="DB12" s="5">
        <v>545.8</v>
      </c>
      <c r="DC12" s="5">
        <v>198.3</v>
      </c>
      <c r="DD12" s="5">
        <v>541.8</v>
      </c>
      <c r="DE12" s="5">
        <v>199.9</v>
      </c>
      <c r="DF12" s="5">
        <v>537</v>
      </c>
      <c r="DG12" s="5">
        <v>199.4</v>
      </c>
      <c r="DH12" s="5">
        <v>532</v>
      </c>
      <c r="DI12" s="5">
        <v>197.2</v>
      </c>
      <c r="DJ12" s="5">
        <v>527.8</v>
      </c>
      <c r="DK12" s="5">
        <v>6.2</v>
      </c>
    </row>
    <row r="13" spans="1:115" ht="15">
      <c r="A13" t="s">
        <v>4</v>
      </c>
      <c r="B13" s="1">
        <v>0.001</v>
      </c>
      <c r="F13" t="s">
        <v>79</v>
      </c>
      <c r="G13" t="str">
        <f>Pecoax(75,0.66,18,0.12,0.61)</f>
        <v>3.79050055075973E-07,6.73866764579508E-11,0.0239501312335,0.309949370289576,0,2.78652194964002E-06</v>
      </c>
      <c r="H13" s="3" t="s">
        <v>93</v>
      </c>
      <c r="I13" t="s">
        <v>110</v>
      </c>
      <c r="J13" t="s">
        <v>100</v>
      </c>
      <c r="K13" s="5"/>
      <c r="L13" s="5">
        <v>10.61</v>
      </c>
      <c r="M13" s="5">
        <v>-1572</v>
      </c>
      <c r="N13" s="5">
        <v>9.492</v>
      </c>
      <c r="O13" s="5">
        <v>-1460</v>
      </c>
      <c r="P13" s="5">
        <v>8.949</v>
      </c>
      <c r="Q13" s="5">
        <v>-1347</v>
      </c>
      <c r="R13" s="5">
        <v>8.668</v>
      </c>
      <c r="S13" s="5">
        <v>-1233</v>
      </c>
      <c r="T13">
        <v>8.506</v>
      </c>
      <c r="U13">
        <v>-1119</v>
      </c>
      <c r="V13" s="5">
        <v>2</v>
      </c>
      <c r="AA13" s="5">
        <v>180.7</v>
      </c>
      <c r="AB13" s="5">
        <v>707.7</v>
      </c>
      <c r="AC13" s="5">
        <v>160.8</v>
      </c>
      <c r="AD13" s="5">
        <v>740.6</v>
      </c>
      <c r="AE13" s="5">
        <v>176.6</v>
      </c>
      <c r="AF13" s="5">
        <v>775.2</v>
      </c>
      <c r="AG13" s="5">
        <v>206.9</v>
      </c>
      <c r="AH13" s="5">
        <v>796.6</v>
      </c>
      <c r="AI13" s="5">
        <v>241.2</v>
      </c>
      <c r="AJ13" s="5">
        <v>802.2</v>
      </c>
      <c r="AK13" s="5">
        <v>272.4</v>
      </c>
      <c r="AL13" s="5">
        <v>793.8</v>
      </c>
      <c r="AM13" s="5">
        <v>295.4</v>
      </c>
      <c r="AN13" s="5">
        <v>775.1</v>
      </c>
      <c r="AO13" s="5">
        <v>308.1</v>
      </c>
      <c r="AP13" s="5">
        <v>751.1</v>
      </c>
      <c r="AQ13" s="5">
        <v>310.3</v>
      </c>
      <c r="AR13" s="5">
        <v>726.4</v>
      </c>
      <c r="AS13" s="5">
        <v>303.6</v>
      </c>
      <c r="AT13" s="5">
        <v>704.5</v>
      </c>
      <c r="AU13" s="5">
        <v>290.3</v>
      </c>
      <c r="AV13" s="5">
        <v>688.2</v>
      </c>
      <c r="AW13" s="5">
        <v>273.1</v>
      </c>
      <c r="AX13" s="5">
        <v>678.7</v>
      </c>
      <c r="AY13" s="5">
        <v>254.8</v>
      </c>
      <c r="AZ13" s="5">
        <v>676.4</v>
      </c>
      <c r="BA13" s="5">
        <v>238</v>
      </c>
      <c r="BB13" s="5">
        <v>680.8</v>
      </c>
      <c r="BC13" s="5">
        <v>224.7</v>
      </c>
      <c r="BD13" s="5">
        <v>690.8</v>
      </c>
      <c r="BE13" s="5">
        <v>216.5</v>
      </c>
      <c r="BF13" s="5">
        <v>704.4</v>
      </c>
      <c r="BG13" s="5">
        <v>214.4</v>
      </c>
      <c r="BH13" s="5">
        <v>719.6</v>
      </c>
      <c r="BI13" s="5">
        <v>218.2</v>
      </c>
      <c r="BJ13" s="5">
        <v>734</v>
      </c>
      <c r="BK13" s="5">
        <v>227.2</v>
      </c>
      <c r="BL13" s="5">
        <v>745.2</v>
      </c>
      <c r="BM13" s="5">
        <v>239.5</v>
      </c>
      <c r="BN13" s="5">
        <v>751.7</v>
      </c>
      <c r="BO13" s="5">
        <v>252.8</v>
      </c>
      <c r="BP13" s="5">
        <v>752.5</v>
      </c>
      <c r="BQ13" s="5">
        <v>264.7</v>
      </c>
      <c r="BR13" s="5">
        <v>748</v>
      </c>
      <c r="BS13" s="5">
        <v>273.5</v>
      </c>
      <c r="BT13" s="5">
        <v>739.4</v>
      </c>
      <c r="BU13" s="5">
        <v>277.8</v>
      </c>
      <c r="BV13" s="5">
        <v>728.6</v>
      </c>
      <c r="BW13" s="5">
        <v>277.4</v>
      </c>
      <c r="BX13" s="5">
        <v>717.5</v>
      </c>
      <c r="BY13" s="5">
        <v>272.8</v>
      </c>
      <c r="BZ13" s="5">
        <v>707.8</v>
      </c>
      <c r="CA13" s="5">
        <v>265.1</v>
      </c>
      <c r="CB13" s="5">
        <v>701.1</v>
      </c>
      <c r="CC13" s="5">
        <v>255.7</v>
      </c>
      <c r="CD13" s="5">
        <v>698.1</v>
      </c>
      <c r="CE13" s="5">
        <v>246.2</v>
      </c>
      <c r="CF13" s="5">
        <v>699</v>
      </c>
      <c r="CG13" s="5">
        <v>238.1</v>
      </c>
      <c r="CH13" s="5">
        <v>702.8</v>
      </c>
      <c r="CI13" s="5">
        <v>232.4</v>
      </c>
      <c r="CJ13" s="5">
        <v>710</v>
      </c>
      <c r="CK13" s="5">
        <v>230</v>
      </c>
      <c r="CL13" s="5">
        <v>718.7</v>
      </c>
      <c r="CM13" s="5">
        <v>231.4</v>
      </c>
      <c r="CN13" s="5">
        <v>727.4</v>
      </c>
      <c r="CO13" s="5">
        <v>236.1</v>
      </c>
      <c r="CP13" s="5">
        <v>734.6</v>
      </c>
      <c r="CQ13" s="5">
        <v>243.1</v>
      </c>
      <c r="CR13" s="5">
        <v>739.2</v>
      </c>
      <c r="CS13" s="5">
        <v>251.2</v>
      </c>
      <c r="CT13" s="5">
        <v>740.4</v>
      </c>
      <c r="CU13" s="5">
        <v>258.9</v>
      </c>
      <c r="CV13" s="5">
        <v>738.2</v>
      </c>
      <c r="CW13" s="5">
        <v>264.8</v>
      </c>
      <c r="CX13" s="5">
        <v>733.3</v>
      </c>
      <c r="CY13" s="5">
        <v>268.1</v>
      </c>
      <c r="CZ13" s="5">
        <v>726.5</v>
      </c>
      <c r="DA13" s="5">
        <v>268.3</v>
      </c>
      <c r="DB13" s="5">
        <v>719.3</v>
      </c>
      <c r="DC13" s="5">
        <v>265.6</v>
      </c>
      <c r="DD13" s="5">
        <v>712.8</v>
      </c>
      <c r="DE13" s="5">
        <v>260.8</v>
      </c>
      <c r="DF13" s="5">
        <v>708.1</v>
      </c>
      <c r="DG13" s="5">
        <v>254.5</v>
      </c>
      <c r="DH13" s="5">
        <v>705.8</v>
      </c>
      <c r="DI13" s="5">
        <v>248.1</v>
      </c>
      <c r="DJ13" s="5">
        <v>706.1</v>
      </c>
      <c r="DK13" s="5">
        <v>6.6</v>
      </c>
    </row>
    <row r="14" spans="1:115" ht="15">
      <c r="A14" t="s">
        <v>5</v>
      </c>
      <c r="B14" s="1">
        <v>1000</v>
      </c>
      <c r="F14" t="s">
        <v>80</v>
      </c>
      <c r="G14" t="str">
        <f>Pecoax(75,0.84,14,0.11,0.26)</f>
        <v>2.97825043273979E-07,5.29466743598184E-11,0.0121391076115,0.218451384869148,0,7.05029254448641E-07</v>
      </c>
      <c r="H14" s="3" t="s">
        <v>93</v>
      </c>
      <c r="I14" t="s">
        <v>111</v>
      </c>
      <c r="J14" t="s">
        <v>100</v>
      </c>
      <c r="K14" s="5"/>
      <c r="L14" s="5">
        <v>12.68</v>
      </c>
      <c r="M14" s="5">
        <v>-1375</v>
      </c>
      <c r="N14" s="5">
        <v>11.5</v>
      </c>
      <c r="O14" s="5">
        <v>-1277</v>
      </c>
      <c r="P14" s="5">
        <v>10.92</v>
      </c>
      <c r="Q14" s="5">
        <v>-1178</v>
      </c>
      <c r="R14" s="5">
        <v>10.62</v>
      </c>
      <c r="S14" s="5">
        <v>-1079</v>
      </c>
      <c r="T14">
        <v>10.45</v>
      </c>
      <c r="U14">
        <v>-978.8</v>
      </c>
      <c r="V14" s="5">
        <v>2.2</v>
      </c>
      <c r="AA14" s="5">
        <v>240</v>
      </c>
      <c r="AB14" s="5">
        <v>922.3</v>
      </c>
      <c r="AC14" s="5">
        <v>221.3</v>
      </c>
      <c r="AD14" s="5">
        <v>976</v>
      </c>
      <c r="AE14" s="5">
        <v>252</v>
      </c>
      <c r="AF14" s="5">
        <v>1024</v>
      </c>
      <c r="AG14" s="5">
        <v>301.2</v>
      </c>
      <c r="AH14" s="5">
        <v>1050</v>
      </c>
      <c r="AI14" s="5">
        <v>352.4</v>
      </c>
      <c r="AJ14" s="5">
        <v>1049</v>
      </c>
      <c r="AK14" s="5">
        <v>394.1</v>
      </c>
      <c r="AL14" s="5">
        <v>1028</v>
      </c>
      <c r="AM14" s="5">
        <v>420</v>
      </c>
      <c r="AN14" s="5">
        <v>994.7</v>
      </c>
      <c r="AO14" s="5">
        <v>428.5</v>
      </c>
      <c r="AP14" s="5">
        <v>957.5</v>
      </c>
      <c r="AQ14" s="5">
        <v>421.8</v>
      </c>
      <c r="AR14" s="5">
        <v>923.5</v>
      </c>
      <c r="AS14" s="5">
        <v>403.9</v>
      </c>
      <c r="AT14" s="5">
        <v>897.6</v>
      </c>
      <c r="AU14" s="5">
        <v>379.3</v>
      </c>
      <c r="AV14" s="5">
        <v>882.1</v>
      </c>
      <c r="AW14" s="5">
        <v>352.7</v>
      </c>
      <c r="AX14" s="5">
        <v>877.8</v>
      </c>
      <c r="AY14" s="5">
        <v>327.9</v>
      </c>
      <c r="AZ14" s="5">
        <v>883.7</v>
      </c>
      <c r="BA14" s="5">
        <v>308.5</v>
      </c>
      <c r="BB14" s="5">
        <v>898.2</v>
      </c>
      <c r="BC14" s="5">
        <v>297</v>
      </c>
      <c r="BD14" s="5">
        <v>918.4</v>
      </c>
      <c r="BE14" s="5">
        <v>294.8</v>
      </c>
      <c r="BF14" s="5">
        <v>940.8</v>
      </c>
      <c r="BG14" s="5">
        <v>301.8</v>
      </c>
      <c r="BH14" s="5">
        <v>961.4</v>
      </c>
      <c r="BI14" s="5">
        <v>316.5</v>
      </c>
      <c r="BJ14" s="5">
        <v>976.6</v>
      </c>
      <c r="BK14" s="5">
        <v>335.7</v>
      </c>
      <c r="BL14" s="5">
        <v>983.8</v>
      </c>
      <c r="BM14" s="5">
        <v>355.2</v>
      </c>
      <c r="BN14" s="5">
        <v>982.1</v>
      </c>
      <c r="BO14" s="5">
        <v>371.3</v>
      </c>
      <c r="BP14" s="5">
        <v>972.4</v>
      </c>
      <c r="BQ14" s="5">
        <v>381.2</v>
      </c>
      <c r="BR14" s="5">
        <v>957.6</v>
      </c>
      <c r="BS14" s="5">
        <v>383.6</v>
      </c>
      <c r="BT14" s="5">
        <v>940.8</v>
      </c>
      <c r="BU14" s="5">
        <v>379</v>
      </c>
      <c r="BV14" s="5">
        <v>925.3</v>
      </c>
      <c r="BW14" s="5">
        <v>368.8</v>
      </c>
      <c r="BX14" s="5">
        <v>913.9</v>
      </c>
      <c r="BY14" s="5">
        <v>355.3</v>
      </c>
      <c r="BZ14" s="5">
        <v>908</v>
      </c>
      <c r="CA14" s="5">
        <v>341.2</v>
      </c>
      <c r="CB14" s="5">
        <v>908.1</v>
      </c>
      <c r="CC14" s="5">
        <v>328.8</v>
      </c>
      <c r="CD14" s="5">
        <v>913.9</v>
      </c>
      <c r="CE14" s="5">
        <v>319.8</v>
      </c>
      <c r="CF14" s="5">
        <v>923.3</v>
      </c>
      <c r="CG14" s="5">
        <v>316.1</v>
      </c>
      <c r="CH14" s="5">
        <v>936.2</v>
      </c>
      <c r="CI14" s="5">
        <v>318.2</v>
      </c>
      <c r="CJ14" s="5">
        <v>949</v>
      </c>
      <c r="CK14" s="5">
        <v>325.5</v>
      </c>
      <c r="CL14" s="5">
        <v>959.6</v>
      </c>
      <c r="CM14" s="5">
        <v>336.4</v>
      </c>
      <c r="CN14" s="5">
        <v>965.7</v>
      </c>
      <c r="CO14" s="5">
        <v>348.5</v>
      </c>
      <c r="CP14" s="5">
        <v>966.5</v>
      </c>
      <c r="CQ14" s="5">
        <v>359.5</v>
      </c>
      <c r="CR14" s="5">
        <v>962.1</v>
      </c>
      <c r="CS14" s="5">
        <v>367.2</v>
      </c>
      <c r="CT14" s="5">
        <v>953.6</v>
      </c>
      <c r="CU14" s="5">
        <v>370.3</v>
      </c>
      <c r="CV14" s="5">
        <v>943</v>
      </c>
      <c r="CW14" s="5">
        <v>368.5</v>
      </c>
      <c r="CX14" s="5">
        <v>932.5</v>
      </c>
      <c r="CY14" s="5">
        <v>362.7</v>
      </c>
      <c r="CZ14" s="5">
        <v>924.1</v>
      </c>
      <c r="DA14" s="5">
        <v>354.2</v>
      </c>
      <c r="DB14" s="5">
        <v>919</v>
      </c>
      <c r="DC14" s="5">
        <v>344.5</v>
      </c>
      <c r="DD14" s="5">
        <v>918</v>
      </c>
      <c r="DE14" s="5">
        <v>335.6</v>
      </c>
      <c r="DF14" s="5">
        <v>921.2</v>
      </c>
      <c r="DG14" s="5">
        <v>329</v>
      </c>
      <c r="DH14" s="5">
        <v>927.7</v>
      </c>
      <c r="DI14" s="5">
        <v>325.8</v>
      </c>
      <c r="DJ14" s="5">
        <v>936.2</v>
      </c>
      <c r="DK14" s="5">
        <v>7</v>
      </c>
    </row>
    <row r="15" spans="1:115" ht="15">
      <c r="A15" t="s">
        <v>6</v>
      </c>
      <c r="B15" s="1">
        <v>1000000</v>
      </c>
      <c r="F15" t="s">
        <v>81</v>
      </c>
      <c r="G15" t="str">
        <f>DefineCoaxZo(75,0.66,ρCu,AWG(10),ρCu,0.001,tanδPE,εPE)</f>
        <v>3.79050055075973E-07,6.73866764579508E-11,3.59682957185273E-03,0.117633921326738,0,2.78652194964002E-06</v>
      </c>
      <c r="H15" s="3" t="s">
        <v>93</v>
      </c>
      <c r="I15" t="s">
        <v>112</v>
      </c>
      <c r="J15" t="s">
        <v>100</v>
      </c>
      <c r="K15" s="5"/>
      <c r="L15" s="5">
        <v>15.01</v>
      </c>
      <c r="M15" s="5">
        <v>-1206</v>
      </c>
      <c r="N15" s="5">
        <v>13.76</v>
      </c>
      <c r="O15" s="5">
        <v>-1120</v>
      </c>
      <c r="P15" s="5">
        <v>13.14</v>
      </c>
      <c r="Q15" s="5">
        <v>-1033</v>
      </c>
      <c r="R15" s="5">
        <v>12.83</v>
      </c>
      <c r="S15" s="5">
        <v>-945.8</v>
      </c>
      <c r="T15">
        <v>12.65</v>
      </c>
      <c r="U15">
        <v>-857.9</v>
      </c>
      <c r="V15" s="5">
        <v>2.4</v>
      </c>
      <c r="AA15" s="5">
        <v>334.6</v>
      </c>
      <c r="AB15" s="5">
        <v>1194</v>
      </c>
      <c r="AC15" s="5">
        <v>320.5</v>
      </c>
      <c r="AD15" s="5">
        <v>1278</v>
      </c>
      <c r="AE15" s="5">
        <v>378.6</v>
      </c>
      <c r="AF15" s="5">
        <v>1345</v>
      </c>
      <c r="AG15" s="5">
        <v>459.9</v>
      </c>
      <c r="AH15" s="5">
        <v>1370</v>
      </c>
      <c r="AI15" s="5">
        <v>536.2</v>
      </c>
      <c r="AJ15" s="5">
        <v>1353</v>
      </c>
      <c r="AK15" s="5">
        <v>589.3</v>
      </c>
      <c r="AL15" s="5">
        <v>1307</v>
      </c>
      <c r="AM15" s="5">
        <v>612.6</v>
      </c>
      <c r="AN15" s="5">
        <v>1250</v>
      </c>
      <c r="AO15" s="5">
        <v>608.7</v>
      </c>
      <c r="AP15" s="5">
        <v>1195</v>
      </c>
      <c r="AQ15" s="5">
        <v>584.5</v>
      </c>
      <c r="AR15" s="5">
        <v>1151</v>
      </c>
      <c r="AS15" s="5">
        <v>548.4</v>
      </c>
      <c r="AT15" s="5">
        <v>1125</v>
      </c>
      <c r="AU15" s="5">
        <v>508.1</v>
      </c>
      <c r="AV15" s="5">
        <v>1116</v>
      </c>
      <c r="AW15" s="5">
        <v>470.3</v>
      </c>
      <c r="AX15" s="5">
        <v>1124</v>
      </c>
      <c r="AY15" s="5">
        <v>440.5</v>
      </c>
      <c r="AZ15" s="5">
        <v>1145</v>
      </c>
      <c r="BA15" s="5">
        <v>422.9</v>
      </c>
      <c r="BB15" s="5">
        <v>1175</v>
      </c>
      <c r="BC15" s="5">
        <v>420.1</v>
      </c>
      <c r="BD15" s="5">
        <v>1210</v>
      </c>
      <c r="BE15" s="5">
        <v>432.3</v>
      </c>
      <c r="BF15" s="5">
        <v>1241</v>
      </c>
      <c r="BG15" s="5">
        <v>456.5</v>
      </c>
      <c r="BH15" s="5">
        <v>1263</v>
      </c>
      <c r="BI15" s="5">
        <v>486.9</v>
      </c>
      <c r="BJ15" s="5">
        <v>1271</v>
      </c>
      <c r="BK15" s="5">
        <v>516.4</v>
      </c>
      <c r="BL15" s="5">
        <v>1264</v>
      </c>
      <c r="BM15" s="5">
        <v>538.3</v>
      </c>
      <c r="BN15" s="5">
        <v>1245</v>
      </c>
      <c r="BO15" s="5">
        <v>548.8</v>
      </c>
      <c r="BP15" s="5">
        <v>1220</v>
      </c>
      <c r="BQ15" s="5">
        <v>546.9</v>
      </c>
      <c r="BR15" s="5">
        <v>1195</v>
      </c>
      <c r="BS15" s="5">
        <v>534.7</v>
      </c>
      <c r="BT15" s="5">
        <v>1174</v>
      </c>
      <c r="BU15" s="5">
        <v>515.6</v>
      </c>
      <c r="BV15" s="5">
        <v>1161</v>
      </c>
      <c r="BW15" s="5">
        <v>493.9</v>
      </c>
      <c r="BX15" s="5">
        <v>1158</v>
      </c>
      <c r="BY15" s="5">
        <v>473.8</v>
      </c>
      <c r="BZ15" s="5">
        <v>1165</v>
      </c>
      <c r="CA15" s="5">
        <v>458.3</v>
      </c>
      <c r="CB15" s="5">
        <v>1177</v>
      </c>
      <c r="CC15" s="5">
        <v>450.8</v>
      </c>
      <c r="CD15" s="5">
        <v>1197</v>
      </c>
      <c r="CE15" s="5">
        <v>452.7</v>
      </c>
      <c r="CF15" s="5">
        <v>1217</v>
      </c>
      <c r="CG15" s="5">
        <v>463.2</v>
      </c>
      <c r="CH15" s="5">
        <v>1234</v>
      </c>
      <c r="CI15" s="5">
        <v>480</v>
      </c>
      <c r="CJ15" s="5">
        <v>1243</v>
      </c>
      <c r="CK15" s="5">
        <v>498.9</v>
      </c>
      <c r="CL15" s="5">
        <v>1245</v>
      </c>
      <c r="CM15" s="5">
        <v>515.7</v>
      </c>
      <c r="CN15" s="5">
        <v>1237</v>
      </c>
      <c r="CO15" s="5">
        <v>526.6</v>
      </c>
      <c r="CP15" s="5">
        <v>1223</v>
      </c>
      <c r="CQ15" s="5">
        <v>529.8</v>
      </c>
      <c r="CR15" s="5">
        <v>1206</v>
      </c>
      <c r="CS15" s="5">
        <v>525.3</v>
      </c>
      <c r="CT15" s="5">
        <v>1191</v>
      </c>
      <c r="CU15" s="5">
        <v>514.7</v>
      </c>
      <c r="CV15" s="5">
        <v>1179</v>
      </c>
      <c r="CW15" s="5">
        <v>500.5</v>
      </c>
      <c r="CX15" s="5">
        <v>1174</v>
      </c>
      <c r="CY15" s="5">
        <v>485.8</v>
      </c>
      <c r="CZ15" s="5">
        <v>1175</v>
      </c>
      <c r="DA15" s="5">
        <v>473.6</v>
      </c>
      <c r="DB15" s="5">
        <v>1183</v>
      </c>
      <c r="DC15" s="5">
        <v>466</v>
      </c>
      <c r="DD15" s="5">
        <v>1194</v>
      </c>
      <c r="DE15" s="5">
        <v>464.6</v>
      </c>
      <c r="DF15" s="5">
        <v>1208</v>
      </c>
      <c r="DG15" s="5">
        <v>469.6</v>
      </c>
      <c r="DH15" s="5">
        <v>1221</v>
      </c>
      <c r="DI15" s="5">
        <v>479.7</v>
      </c>
      <c r="DJ15" s="5">
        <v>1230</v>
      </c>
      <c r="DK15" s="5">
        <v>7.4</v>
      </c>
    </row>
    <row r="16" spans="1:115" ht="15">
      <c r="A16" t="s">
        <v>7</v>
      </c>
      <c r="B16" s="1">
        <v>1000000000</v>
      </c>
      <c r="F16" t="s">
        <v>82</v>
      </c>
      <c r="G16" t="str">
        <f>Pecoax(50,0.66,20,0.41,1.08)</f>
        <v>2.52700036717315E-07,1.01080014686926E-10,0.0488845144355,0.474621976974674,0,4.17978292445992E-06</v>
      </c>
      <c r="H16" s="3" t="s">
        <v>93</v>
      </c>
      <c r="I16" t="s">
        <v>124</v>
      </c>
      <c r="J16" t="s">
        <v>100</v>
      </c>
      <c r="K16" s="5"/>
      <c r="L16" s="5">
        <v>17.61</v>
      </c>
      <c r="M16" s="5">
        <v>-1058</v>
      </c>
      <c r="N16" s="5">
        <v>16.29</v>
      </c>
      <c r="O16" s="5">
        <v>-982.3</v>
      </c>
      <c r="P16" s="5">
        <v>15.65</v>
      </c>
      <c r="Q16" s="5">
        <v>-906</v>
      </c>
      <c r="R16" s="5">
        <v>15.32</v>
      </c>
      <c r="S16" s="5">
        <v>-829.1</v>
      </c>
      <c r="T16">
        <v>15.13</v>
      </c>
      <c r="U16">
        <v>-751.9</v>
      </c>
      <c r="V16" s="5">
        <v>2.6</v>
      </c>
      <c r="AA16" s="5">
        <v>500.3</v>
      </c>
      <c r="AB16" s="5">
        <v>1557</v>
      </c>
      <c r="AC16" s="5">
        <v>500.1</v>
      </c>
      <c r="AD16" s="5">
        <v>1691</v>
      </c>
      <c r="AE16" s="5">
        <v>612.9</v>
      </c>
      <c r="AF16" s="5">
        <v>1780</v>
      </c>
      <c r="AG16" s="5">
        <v>751.5</v>
      </c>
      <c r="AH16" s="5">
        <v>1790</v>
      </c>
      <c r="AI16" s="5">
        <v>863</v>
      </c>
      <c r="AJ16" s="5">
        <v>1732</v>
      </c>
      <c r="AK16" s="5">
        <v>921.2</v>
      </c>
      <c r="AL16" s="5">
        <v>1638</v>
      </c>
      <c r="AM16" s="5">
        <v>926.1</v>
      </c>
      <c r="AN16" s="5">
        <v>1542</v>
      </c>
      <c r="AO16" s="5">
        <v>891.9</v>
      </c>
      <c r="AP16" s="5">
        <v>1466</v>
      </c>
      <c r="AQ16" s="5">
        <v>835.5</v>
      </c>
      <c r="AR16" s="5">
        <v>1419</v>
      </c>
      <c r="AS16" s="5">
        <v>771.4</v>
      </c>
      <c r="AT16" s="5">
        <v>1402</v>
      </c>
      <c r="AU16" s="5">
        <v>710.9</v>
      </c>
      <c r="AV16" s="5">
        <v>1412</v>
      </c>
      <c r="AW16" s="5">
        <v>662.9</v>
      </c>
      <c r="AX16" s="5">
        <v>1445</v>
      </c>
      <c r="AY16" s="5">
        <v>634.4</v>
      </c>
      <c r="AZ16" s="5">
        <v>1493</v>
      </c>
      <c r="BA16" s="5">
        <v>630.3</v>
      </c>
      <c r="BB16" s="5">
        <v>1547</v>
      </c>
      <c r="BC16" s="5">
        <v>651.4</v>
      </c>
      <c r="BD16" s="5">
        <v>1597</v>
      </c>
      <c r="BE16" s="5">
        <v>692.8</v>
      </c>
      <c r="BF16" s="5">
        <v>1630</v>
      </c>
      <c r="BG16" s="5">
        <v>743.7</v>
      </c>
      <c r="BH16" s="5">
        <v>1639</v>
      </c>
      <c r="BI16" s="5">
        <v>790.1</v>
      </c>
      <c r="BJ16" s="5">
        <v>1622</v>
      </c>
      <c r="BK16" s="5">
        <v>820.6</v>
      </c>
      <c r="BL16" s="5">
        <v>1586</v>
      </c>
      <c r="BM16" s="5">
        <v>829.5</v>
      </c>
      <c r="BN16" s="5">
        <v>1544</v>
      </c>
      <c r="BO16" s="5">
        <v>817.9</v>
      </c>
      <c r="BP16" s="5">
        <v>1504</v>
      </c>
      <c r="BQ16" s="5">
        <v>791.4</v>
      </c>
      <c r="BR16" s="5">
        <v>1477</v>
      </c>
      <c r="BS16" s="5">
        <v>757.4</v>
      </c>
      <c r="BT16" s="5">
        <v>1465</v>
      </c>
      <c r="BU16" s="5">
        <v>723.3</v>
      </c>
      <c r="BV16" s="5">
        <v>1470</v>
      </c>
      <c r="BW16" s="5">
        <v>695.8</v>
      </c>
      <c r="BX16" s="5">
        <v>1488</v>
      </c>
      <c r="BY16" s="5">
        <v>678.4</v>
      </c>
      <c r="BZ16" s="5">
        <v>1515</v>
      </c>
      <c r="CA16" s="5">
        <v>677.2</v>
      </c>
      <c r="CB16" s="5">
        <v>1548</v>
      </c>
      <c r="CC16" s="5">
        <v>691.4</v>
      </c>
      <c r="CD16" s="5">
        <v>1577</v>
      </c>
      <c r="CE16" s="5">
        <v>717.6</v>
      </c>
      <c r="CF16" s="5">
        <v>1596</v>
      </c>
      <c r="CG16" s="5">
        <v>748.9</v>
      </c>
      <c r="CH16" s="5">
        <v>1599</v>
      </c>
      <c r="CI16" s="5">
        <v>777</v>
      </c>
      <c r="CJ16" s="5">
        <v>1587</v>
      </c>
      <c r="CK16" s="5">
        <v>794.7</v>
      </c>
      <c r="CL16" s="5">
        <v>1564</v>
      </c>
      <c r="CM16" s="5">
        <v>798.8</v>
      </c>
      <c r="CN16" s="5">
        <v>1536</v>
      </c>
      <c r="CO16" s="5">
        <v>789.7</v>
      </c>
      <c r="CP16" s="5">
        <v>1511</v>
      </c>
      <c r="CQ16" s="5">
        <v>770.9</v>
      </c>
      <c r="CR16" s="5">
        <v>1494</v>
      </c>
      <c r="CS16" s="5">
        <v>747.2</v>
      </c>
      <c r="CT16" s="5">
        <v>1488</v>
      </c>
      <c r="CU16" s="5">
        <v>724.2</v>
      </c>
      <c r="CV16" s="5">
        <v>1493</v>
      </c>
      <c r="CW16" s="5">
        <v>706.5</v>
      </c>
      <c r="CX16" s="5">
        <v>1508</v>
      </c>
      <c r="CY16" s="5">
        <v>697.9</v>
      </c>
      <c r="CZ16" s="5">
        <v>1529</v>
      </c>
      <c r="DA16" s="5">
        <v>700.1</v>
      </c>
      <c r="DB16" s="5">
        <v>1552</v>
      </c>
      <c r="DC16" s="5">
        <v>712.6</v>
      </c>
      <c r="DD16" s="5">
        <v>1570</v>
      </c>
      <c r="DE16" s="5">
        <v>732.3</v>
      </c>
      <c r="DF16" s="5">
        <v>1580</v>
      </c>
      <c r="DG16" s="5">
        <v>754</v>
      </c>
      <c r="DH16" s="5">
        <v>1579</v>
      </c>
      <c r="DI16" s="5">
        <v>772.1</v>
      </c>
      <c r="DJ16" s="5">
        <v>1568</v>
      </c>
      <c r="DK16" s="5">
        <v>7.8</v>
      </c>
    </row>
    <row r="17" spans="6:115" ht="15">
      <c r="F17" t="s">
        <v>83</v>
      </c>
      <c r="G17" t="str">
        <f>Pecoax(50,0.85,17,0.42,0.33)</f>
        <v>1.96214146156974E-07,7.84856584627897E-11,0.0246062992125,0.312437088338497,0,9.62065527665747E-07</v>
      </c>
      <c r="H17" s="3" t="s">
        <v>93</v>
      </c>
      <c r="I17" t="s">
        <v>113</v>
      </c>
      <c r="J17" t="s">
        <v>101</v>
      </c>
      <c r="K17" s="5"/>
      <c r="L17" s="5">
        <v>20.53</v>
      </c>
      <c r="M17" s="5">
        <v>-925.7</v>
      </c>
      <c r="N17" s="5">
        <v>19.13</v>
      </c>
      <c r="O17" s="5">
        <v>-859.5</v>
      </c>
      <c r="P17" s="5">
        <v>18.46</v>
      </c>
      <c r="Q17" s="5">
        <v>-792.6</v>
      </c>
      <c r="R17" s="5">
        <v>18.11</v>
      </c>
      <c r="S17" s="5">
        <v>-725.1</v>
      </c>
      <c r="T17">
        <v>17.92</v>
      </c>
      <c r="U17">
        <v>-657.3</v>
      </c>
      <c r="V17" s="5">
        <v>2.8</v>
      </c>
      <c r="AA17" s="5">
        <v>829.5</v>
      </c>
      <c r="AB17" s="5">
        <v>2077</v>
      </c>
      <c r="AC17" s="5">
        <v>873.2</v>
      </c>
      <c r="AD17" s="5">
        <v>2296</v>
      </c>
      <c r="AE17" s="5">
        <v>1109</v>
      </c>
      <c r="AF17" s="5">
        <v>2399</v>
      </c>
      <c r="AG17" s="5">
        <v>1350</v>
      </c>
      <c r="AH17" s="5">
        <v>2337</v>
      </c>
      <c r="AI17" s="5">
        <v>1494</v>
      </c>
      <c r="AJ17" s="5">
        <v>2170</v>
      </c>
      <c r="AK17" s="5">
        <v>1520</v>
      </c>
      <c r="AL17" s="5">
        <v>1986</v>
      </c>
      <c r="AM17" s="5">
        <v>1462</v>
      </c>
      <c r="AN17" s="5">
        <v>1842</v>
      </c>
      <c r="AO17" s="5">
        <v>1362</v>
      </c>
      <c r="AP17" s="5">
        <v>1756</v>
      </c>
      <c r="AQ17" s="5">
        <v>1251</v>
      </c>
      <c r="AR17" s="5">
        <v>1726</v>
      </c>
      <c r="AS17" s="5">
        <v>1148</v>
      </c>
      <c r="AT17" s="5">
        <v>1744</v>
      </c>
      <c r="AU17" s="5">
        <v>1068</v>
      </c>
      <c r="AV17" s="5">
        <v>1800</v>
      </c>
      <c r="AW17" s="5">
        <v>1021</v>
      </c>
      <c r="AX17" s="5">
        <v>1883</v>
      </c>
      <c r="AY17" s="5">
        <v>1017</v>
      </c>
      <c r="AZ17" s="5">
        <v>1976</v>
      </c>
      <c r="BA17" s="5">
        <v>1057</v>
      </c>
      <c r="BB17" s="5">
        <v>2061</v>
      </c>
      <c r="BC17" s="5">
        <v>1135</v>
      </c>
      <c r="BD17" s="5">
        <v>2113</v>
      </c>
      <c r="BE17" s="5">
        <v>1227</v>
      </c>
      <c r="BF17" s="5">
        <v>2118</v>
      </c>
      <c r="BG17" s="5">
        <v>1304</v>
      </c>
      <c r="BH17" s="5">
        <v>2075</v>
      </c>
      <c r="BI17" s="5">
        <v>1344</v>
      </c>
      <c r="BJ17" s="5">
        <v>2003</v>
      </c>
      <c r="BK17" s="5">
        <v>1342</v>
      </c>
      <c r="BL17" s="5">
        <v>1927</v>
      </c>
      <c r="BM17" s="5">
        <v>1306</v>
      </c>
      <c r="BN17" s="5">
        <v>1867</v>
      </c>
      <c r="BO17" s="5">
        <v>1251</v>
      </c>
      <c r="BP17" s="5">
        <v>1834</v>
      </c>
      <c r="BQ17" s="5">
        <v>1190</v>
      </c>
      <c r="BR17" s="5">
        <v>1831</v>
      </c>
      <c r="BS17" s="5">
        <v>1138</v>
      </c>
      <c r="BT17" s="5">
        <v>1855</v>
      </c>
      <c r="BU17" s="5">
        <v>1100</v>
      </c>
      <c r="BV17" s="5">
        <v>1895</v>
      </c>
      <c r="BW17" s="5">
        <v>1089</v>
      </c>
      <c r="BX17" s="5">
        <v>1952</v>
      </c>
      <c r="BY17" s="5">
        <v>1107</v>
      </c>
      <c r="BZ17" s="5">
        <v>2007</v>
      </c>
      <c r="CA17" s="5">
        <v>1150</v>
      </c>
      <c r="CB17" s="5">
        <v>2045</v>
      </c>
      <c r="CC17" s="5">
        <v>1205</v>
      </c>
      <c r="CD17" s="5">
        <v>2055</v>
      </c>
      <c r="CE17" s="5">
        <v>1257</v>
      </c>
      <c r="CF17" s="5">
        <v>2036</v>
      </c>
      <c r="CG17" s="5">
        <v>1289</v>
      </c>
      <c r="CH17" s="5">
        <v>1994</v>
      </c>
      <c r="CI17" s="5">
        <v>1296</v>
      </c>
      <c r="CJ17" s="5">
        <v>1945</v>
      </c>
      <c r="CK17" s="5">
        <v>1277</v>
      </c>
      <c r="CL17" s="5">
        <v>1901</v>
      </c>
      <c r="CM17" s="5">
        <v>1242</v>
      </c>
      <c r="CN17" s="5">
        <v>1874</v>
      </c>
      <c r="CO17" s="5">
        <v>1200</v>
      </c>
      <c r="CP17" s="5">
        <v>1868</v>
      </c>
      <c r="CQ17" s="5">
        <v>1162</v>
      </c>
      <c r="CR17" s="5">
        <v>1881</v>
      </c>
      <c r="CS17" s="5">
        <v>1135</v>
      </c>
      <c r="CT17" s="5">
        <v>1910</v>
      </c>
      <c r="CU17" s="5">
        <v>1125</v>
      </c>
      <c r="CV17" s="5">
        <v>1949</v>
      </c>
      <c r="CW17" s="5">
        <v>1136</v>
      </c>
      <c r="CX17" s="5">
        <v>1987</v>
      </c>
      <c r="CY17" s="5">
        <v>1164</v>
      </c>
      <c r="CZ17" s="5">
        <v>2014</v>
      </c>
      <c r="DA17" s="5">
        <v>1202</v>
      </c>
      <c r="DB17" s="5">
        <v>2023</v>
      </c>
      <c r="DC17" s="5">
        <v>1238</v>
      </c>
      <c r="DD17" s="5">
        <v>2012</v>
      </c>
      <c r="DE17" s="5">
        <v>1263</v>
      </c>
      <c r="DF17" s="5">
        <v>1984</v>
      </c>
      <c r="DG17" s="5">
        <v>1270</v>
      </c>
      <c r="DH17" s="5">
        <v>1949</v>
      </c>
      <c r="DI17" s="5">
        <v>1259</v>
      </c>
      <c r="DJ17" s="5">
        <v>1917</v>
      </c>
      <c r="DK17" s="5">
        <v>8.2</v>
      </c>
    </row>
    <row r="18" spans="1:115" ht="18">
      <c r="A18" s="2" t="s">
        <v>50</v>
      </c>
      <c r="B18" s="1">
        <f>1</f>
        <v>1</v>
      </c>
      <c r="C18" s="3" t="s">
        <v>93</v>
      </c>
      <c r="D18" s="5" t="s">
        <v>471</v>
      </c>
      <c r="F18" t="s">
        <v>84</v>
      </c>
      <c r="G18" t="str">
        <f>Pecoax(75,0.66,23,0.26,4.9-clad(3.1))</f>
        <v>3.79050055075973E-07,6.73866764579508E-11,0.067585301837,0.544648454539336,0,2.78652194964002E-06</v>
      </c>
      <c r="H18" s="3" t="s">
        <v>93</v>
      </c>
      <c r="I18" t="s">
        <v>114</v>
      </c>
      <c r="J18" t="s">
        <v>100</v>
      </c>
      <c r="K18" s="5"/>
      <c r="L18" s="5">
        <v>23.77</v>
      </c>
      <c r="M18" s="5">
        <v>-806.2</v>
      </c>
      <c r="N18" s="5">
        <v>22.31</v>
      </c>
      <c r="O18" s="5">
        <v>-748.4</v>
      </c>
      <c r="P18" s="5">
        <v>21.61</v>
      </c>
      <c r="Q18" s="5">
        <v>-689.9</v>
      </c>
      <c r="R18" s="5">
        <v>21.25</v>
      </c>
      <c r="S18" s="5">
        <v>-630.9</v>
      </c>
      <c r="T18">
        <v>21.06</v>
      </c>
      <c r="U18">
        <v>-571.6</v>
      </c>
      <c r="V18" s="5">
        <v>3</v>
      </c>
      <c r="AA18" s="5">
        <v>1612</v>
      </c>
      <c r="AB18" s="5">
        <v>2838</v>
      </c>
      <c r="AC18" s="5">
        <v>1823</v>
      </c>
      <c r="AD18" s="5">
        <v>3215</v>
      </c>
      <c r="AE18" s="5">
        <v>2355</v>
      </c>
      <c r="AF18" s="5">
        <v>3200</v>
      </c>
      <c r="AG18" s="5">
        <v>2716</v>
      </c>
      <c r="AH18" s="5">
        <v>2840</v>
      </c>
      <c r="AI18" s="5">
        <v>2762</v>
      </c>
      <c r="AJ18" s="5">
        <v>2421</v>
      </c>
      <c r="AK18" s="5">
        <v>2610</v>
      </c>
      <c r="AL18" s="5">
        <v>2128</v>
      </c>
      <c r="AM18" s="5">
        <v>2391</v>
      </c>
      <c r="AN18" s="5">
        <v>1983</v>
      </c>
      <c r="AO18" s="5">
        <v>2175</v>
      </c>
      <c r="AP18" s="5">
        <v>1955</v>
      </c>
      <c r="AQ18" s="5">
        <v>1992</v>
      </c>
      <c r="AR18" s="5">
        <v>2011</v>
      </c>
      <c r="AS18" s="5">
        <v>1859</v>
      </c>
      <c r="AT18" s="5">
        <v>2129</v>
      </c>
      <c r="AU18" s="5">
        <v>1791</v>
      </c>
      <c r="AV18" s="5">
        <v>2288</v>
      </c>
      <c r="AW18" s="5">
        <v>1802</v>
      </c>
      <c r="AX18" s="5">
        <v>2463</v>
      </c>
      <c r="AY18" s="5">
        <v>1901</v>
      </c>
      <c r="AZ18" s="5">
        <v>2613</v>
      </c>
      <c r="BA18" s="5">
        <v>2069</v>
      </c>
      <c r="BB18" s="5">
        <v>2690</v>
      </c>
      <c r="BC18" s="5">
        <v>2250</v>
      </c>
      <c r="BD18" s="5">
        <v>2659</v>
      </c>
      <c r="BE18" s="5">
        <v>2375</v>
      </c>
      <c r="BF18" s="5">
        <v>2535</v>
      </c>
      <c r="BG18" s="5">
        <v>2406</v>
      </c>
      <c r="BH18" s="5">
        <v>2376</v>
      </c>
      <c r="BI18" s="5">
        <v>2352</v>
      </c>
      <c r="BJ18" s="5">
        <v>2242</v>
      </c>
      <c r="BK18" s="5">
        <v>2250</v>
      </c>
      <c r="BL18" s="5">
        <v>2162</v>
      </c>
      <c r="BM18" s="5">
        <v>2133</v>
      </c>
      <c r="BN18" s="5">
        <v>2143</v>
      </c>
      <c r="BO18" s="5">
        <v>2029</v>
      </c>
      <c r="BP18" s="5">
        <v>2179</v>
      </c>
      <c r="BQ18" s="5">
        <v>1956</v>
      </c>
      <c r="BR18" s="5">
        <v>2256</v>
      </c>
      <c r="BS18" s="5">
        <v>1921</v>
      </c>
      <c r="BT18" s="5">
        <v>2352</v>
      </c>
      <c r="BU18" s="5">
        <v>1946</v>
      </c>
      <c r="BV18" s="5">
        <v>2459</v>
      </c>
      <c r="BW18" s="5">
        <v>2023</v>
      </c>
      <c r="BX18" s="5">
        <v>2539</v>
      </c>
      <c r="BY18" s="5">
        <v>2132</v>
      </c>
      <c r="BZ18" s="5">
        <v>2565</v>
      </c>
      <c r="CA18" s="5">
        <v>2236</v>
      </c>
      <c r="CB18" s="5">
        <v>2526</v>
      </c>
      <c r="CC18" s="5">
        <v>2298</v>
      </c>
      <c r="CD18" s="5">
        <v>2440</v>
      </c>
      <c r="CE18" s="5">
        <v>2302</v>
      </c>
      <c r="CF18" s="5">
        <v>2341</v>
      </c>
      <c r="CG18" s="5">
        <v>2256</v>
      </c>
      <c r="CH18" s="5">
        <v>2260</v>
      </c>
      <c r="CI18" s="5">
        <v>2182</v>
      </c>
      <c r="CJ18" s="5">
        <v>2218</v>
      </c>
      <c r="CK18" s="5">
        <v>2101</v>
      </c>
      <c r="CL18" s="5">
        <v>2218</v>
      </c>
      <c r="CM18" s="5">
        <v>2034</v>
      </c>
      <c r="CN18" s="5">
        <v>2255</v>
      </c>
      <c r="CO18" s="5">
        <v>1994</v>
      </c>
      <c r="CP18" s="5">
        <v>2319</v>
      </c>
      <c r="CQ18" s="5">
        <v>1990</v>
      </c>
      <c r="CR18" s="5">
        <v>2394</v>
      </c>
      <c r="CS18" s="5">
        <v>2026</v>
      </c>
      <c r="CT18" s="5">
        <v>2460</v>
      </c>
      <c r="CU18" s="5">
        <v>2092</v>
      </c>
      <c r="CV18" s="5">
        <v>2499</v>
      </c>
      <c r="CW18" s="5">
        <v>2168</v>
      </c>
      <c r="CX18" s="5">
        <v>2496</v>
      </c>
      <c r="CY18" s="5">
        <v>2229</v>
      </c>
      <c r="CZ18" s="5">
        <v>2452</v>
      </c>
      <c r="DA18" s="5">
        <v>2255</v>
      </c>
      <c r="DB18" s="5">
        <v>2385</v>
      </c>
      <c r="DC18" s="5">
        <v>2242</v>
      </c>
      <c r="DD18" s="5">
        <v>2318</v>
      </c>
      <c r="DE18" s="5">
        <v>2198</v>
      </c>
      <c r="DF18" s="5">
        <v>2270</v>
      </c>
      <c r="DG18" s="5">
        <v>2139</v>
      </c>
      <c r="DH18" s="5">
        <v>2252</v>
      </c>
      <c r="DI18" s="5">
        <v>2081</v>
      </c>
      <c r="DJ18" s="5">
        <v>2265</v>
      </c>
      <c r="DK18" s="5">
        <v>8.6</v>
      </c>
    </row>
    <row r="19" spans="1:115" ht="18">
      <c r="A19" s="5" t="s">
        <v>51</v>
      </c>
      <c r="B19" s="1">
        <v>2.26</v>
      </c>
      <c r="C19" s="3" t="s">
        <v>93</v>
      </c>
      <c r="D19" t="s">
        <v>17</v>
      </c>
      <c r="F19" t="s">
        <v>85</v>
      </c>
      <c r="G19" t="str">
        <f>Pecoax(75,0.83,20,0.26,1)</f>
        <v>0.0000003014132968074,5.35845860990934E-11,0.041338582677,0.432045094464292,0,7.72276697645334E-07</v>
      </c>
      <c r="H19" s="3" t="s">
        <v>93</v>
      </c>
      <c r="I19" t="s">
        <v>115</v>
      </c>
      <c r="J19" t="s">
        <v>100</v>
      </c>
      <c r="K19" s="5"/>
      <c r="L19" s="5">
        <v>27.4</v>
      </c>
      <c r="M19" s="5">
        <v>-696.5</v>
      </c>
      <c r="N19" s="5">
        <v>25.86</v>
      </c>
      <c r="O19" s="5">
        <v>-646.5</v>
      </c>
      <c r="P19" s="5">
        <v>25.13</v>
      </c>
      <c r="Q19" s="5">
        <v>-595.8</v>
      </c>
      <c r="R19" s="5">
        <v>24.76</v>
      </c>
      <c r="S19" s="5">
        <v>-544.5</v>
      </c>
      <c r="T19">
        <v>24.58</v>
      </c>
      <c r="U19">
        <v>-492.9</v>
      </c>
      <c r="V19" s="5">
        <v>3.2</v>
      </c>
      <c r="AA19" s="5">
        <v>3875</v>
      </c>
      <c r="AB19" s="5">
        <v>3514</v>
      </c>
      <c r="AC19" s="5">
        <v>4804</v>
      </c>
      <c r="AD19" s="5">
        <v>3881</v>
      </c>
      <c r="AE19" s="5">
        <v>5556</v>
      </c>
      <c r="AF19" s="5">
        <v>2833</v>
      </c>
      <c r="AG19" s="5">
        <v>5283</v>
      </c>
      <c r="AH19" s="5">
        <v>1792</v>
      </c>
      <c r="AI19" s="5">
        <v>4676</v>
      </c>
      <c r="AJ19" s="5">
        <v>1339</v>
      </c>
      <c r="AK19" s="5">
        <v>4139</v>
      </c>
      <c r="AL19" s="5">
        <v>1271</v>
      </c>
      <c r="AM19" s="5">
        <v>3739</v>
      </c>
      <c r="AN19" s="5">
        <v>1396</v>
      </c>
      <c r="AO19" s="5">
        <v>3467</v>
      </c>
      <c r="AP19" s="5">
        <v>1624</v>
      </c>
      <c r="AQ19" s="5">
        <v>3317</v>
      </c>
      <c r="AR19" s="5">
        <v>1916</v>
      </c>
      <c r="AS19" s="5">
        <v>3298</v>
      </c>
      <c r="AT19" s="5">
        <v>2241</v>
      </c>
      <c r="AU19" s="5">
        <v>3435</v>
      </c>
      <c r="AV19" s="5">
        <v>2556</v>
      </c>
      <c r="AW19" s="5">
        <v>3737</v>
      </c>
      <c r="AX19" s="5">
        <v>2771</v>
      </c>
      <c r="AY19" s="5">
        <v>4135</v>
      </c>
      <c r="AZ19" s="5">
        <v>2772</v>
      </c>
      <c r="BA19" s="5">
        <v>4449</v>
      </c>
      <c r="BB19" s="5">
        <v>2520</v>
      </c>
      <c r="BC19" s="5">
        <v>4527</v>
      </c>
      <c r="BD19" s="5">
        <v>2151</v>
      </c>
      <c r="BE19" s="5">
        <v>4385</v>
      </c>
      <c r="BF19" s="5">
        <v>1853</v>
      </c>
      <c r="BG19" s="5">
        <v>4143</v>
      </c>
      <c r="BH19" s="5">
        <v>1708</v>
      </c>
      <c r="BI19" s="5">
        <v>3899</v>
      </c>
      <c r="BJ19" s="5">
        <v>1705</v>
      </c>
      <c r="BK19" s="5">
        <v>3704</v>
      </c>
      <c r="BL19" s="5">
        <v>1806</v>
      </c>
      <c r="BM19" s="5">
        <v>3584</v>
      </c>
      <c r="BN19" s="5">
        <v>1974</v>
      </c>
      <c r="BO19" s="5">
        <v>3556</v>
      </c>
      <c r="BP19" s="5">
        <v>2176</v>
      </c>
      <c r="BQ19" s="5">
        <v>3616</v>
      </c>
      <c r="BR19" s="5">
        <v>2371</v>
      </c>
      <c r="BS19" s="5">
        <v>3792</v>
      </c>
      <c r="BT19" s="5">
        <v>2511</v>
      </c>
      <c r="BU19" s="5">
        <v>4026</v>
      </c>
      <c r="BV19" s="5">
        <v>2529</v>
      </c>
      <c r="BW19" s="5">
        <v>4227</v>
      </c>
      <c r="BX19" s="5">
        <v>2403</v>
      </c>
      <c r="BY19" s="5">
        <v>4308</v>
      </c>
      <c r="BZ19" s="5">
        <v>2189</v>
      </c>
      <c r="CA19" s="5">
        <v>4251</v>
      </c>
      <c r="CB19" s="5">
        <v>1985</v>
      </c>
      <c r="CC19" s="5">
        <v>4105</v>
      </c>
      <c r="CD19" s="5">
        <v>1863</v>
      </c>
      <c r="CE19" s="5">
        <v>3935</v>
      </c>
      <c r="CF19" s="5">
        <v>1838</v>
      </c>
      <c r="CG19" s="5">
        <v>3788</v>
      </c>
      <c r="CH19" s="5">
        <v>1897</v>
      </c>
      <c r="CI19" s="5">
        <v>3693</v>
      </c>
      <c r="CJ19" s="5">
        <v>2013</v>
      </c>
      <c r="CK19" s="5">
        <v>3668</v>
      </c>
      <c r="CL19" s="5">
        <v>2159</v>
      </c>
      <c r="CM19" s="5">
        <v>3720</v>
      </c>
      <c r="CN19" s="5">
        <v>2300</v>
      </c>
      <c r="CO19" s="5">
        <v>3842</v>
      </c>
      <c r="CP19" s="5">
        <v>2394</v>
      </c>
      <c r="CQ19" s="5">
        <v>4000</v>
      </c>
      <c r="CR19" s="5">
        <v>2405</v>
      </c>
      <c r="CS19" s="5">
        <v>4136</v>
      </c>
      <c r="CT19" s="5">
        <v>2322</v>
      </c>
      <c r="CU19" s="5">
        <v>4196</v>
      </c>
      <c r="CV19" s="5">
        <v>2179</v>
      </c>
      <c r="CW19" s="5">
        <v>4164</v>
      </c>
      <c r="CX19" s="5">
        <v>2035</v>
      </c>
      <c r="CY19" s="5">
        <v>4064</v>
      </c>
      <c r="CZ19" s="5">
        <v>1941</v>
      </c>
      <c r="DA19" s="5">
        <v>3940</v>
      </c>
      <c r="DB19" s="5">
        <v>1917</v>
      </c>
      <c r="DC19" s="5">
        <v>3828</v>
      </c>
      <c r="DD19" s="5">
        <v>1957</v>
      </c>
      <c r="DE19" s="5">
        <v>3754</v>
      </c>
      <c r="DF19" s="5">
        <v>2045</v>
      </c>
      <c r="DG19" s="5">
        <v>3735</v>
      </c>
      <c r="DH19" s="5">
        <v>2157</v>
      </c>
      <c r="DI19" s="5">
        <v>3776</v>
      </c>
      <c r="DJ19" s="5">
        <v>2264</v>
      </c>
      <c r="DK19" s="5">
        <v>9</v>
      </c>
    </row>
    <row r="20" spans="1:115" ht="18">
      <c r="A20" t="s">
        <v>57</v>
      </c>
      <c r="B20">
        <f>1/(vfPTFE*vfPTFE)</f>
        <v>2.07028621706951</v>
      </c>
      <c r="C20" s="3" t="s">
        <v>93</v>
      </c>
      <c r="D20" t="s">
        <v>20</v>
      </c>
      <c r="F20" t="s">
        <v>86</v>
      </c>
      <c r="G20" t="str">
        <f>Pecoax(93,0.84,22,0.29,4.12-clad(2.1))</f>
        <v>3.69303053659734E-07,4.26989309353375E-11,0.0757874015745,0.565760465496419,0,5.68571979394072E-07</v>
      </c>
      <c r="H20" s="3" t="s">
        <v>93</v>
      </c>
      <c r="I20" t="s">
        <v>116</v>
      </c>
      <c r="J20" t="s">
        <v>100</v>
      </c>
      <c r="K20" s="5"/>
      <c r="L20" s="5">
        <v>31.44</v>
      </c>
      <c r="M20" s="5">
        <v>-594.8</v>
      </c>
      <c r="N20" s="5">
        <v>29.83</v>
      </c>
      <c r="O20" s="5">
        <v>-552</v>
      </c>
      <c r="P20" s="5">
        <v>29.06</v>
      </c>
      <c r="Q20" s="5">
        <v>-508.5</v>
      </c>
      <c r="R20" s="5">
        <v>28.7</v>
      </c>
      <c r="S20" s="5">
        <v>-464.4</v>
      </c>
      <c r="T20">
        <v>28.53</v>
      </c>
      <c r="U20">
        <v>-419.9</v>
      </c>
      <c r="V20" s="5">
        <v>3.4</v>
      </c>
      <c r="AA20" s="5">
        <v>7357</v>
      </c>
      <c r="AB20" s="5">
        <v>-202.6</v>
      </c>
      <c r="AC20" s="5">
        <v>7893</v>
      </c>
      <c r="AD20" s="5">
        <v>-1676</v>
      </c>
      <c r="AE20" s="5">
        <v>6334</v>
      </c>
      <c r="AF20" s="5">
        <v>-2328</v>
      </c>
      <c r="AG20" s="5">
        <v>5262</v>
      </c>
      <c r="AH20" s="5">
        <v>-1994</v>
      </c>
      <c r="AI20" s="5">
        <v>4712</v>
      </c>
      <c r="AJ20" s="5">
        <v>-1481</v>
      </c>
      <c r="AK20" s="5">
        <v>4461</v>
      </c>
      <c r="AL20" s="5">
        <v>-974</v>
      </c>
      <c r="AM20" s="5">
        <v>4406</v>
      </c>
      <c r="AN20" s="5">
        <v>-495.3</v>
      </c>
      <c r="AO20" s="5">
        <v>4520</v>
      </c>
      <c r="AP20" s="5">
        <v>-52.39</v>
      </c>
      <c r="AQ20" s="5">
        <v>4815</v>
      </c>
      <c r="AR20" s="5">
        <v>323</v>
      </c>
      <c r="AS20" s="5">
        <v>5305</v>
      </c>
      <c r="AT20" s="5">
        <v>534.8</v>
      </c>
      <c r="AU20" s="5">
        <v>5904</v>
      </c>
      <c r="AV20" s="5">
        <v>412.7</v>
      </c>
      <c r="AW20" s="5">
        <v>6306</v>
      </c>
      <c r="AX20" s="5">
        <v>-118.2</v>
      </c>
      <c r="AY20" s="5">
        <v>6222</v>
      </c>
      <c r="AZ20" s="5">
        <v>-762</v>
      </c>
      <c r="BA20" s="5">
        <v>5793</v>
      </c>
      <c r="BB20" s="5">
        <v>-1122</v>
      </c>
      <c r="BC20" s="5">
        <v>5337</v>
      </c>
      <c r="BD20" s="5">
        <v>-1143</v>
      </c>
      <c r="BE20" s="5">
        <v>5010</v>
      </c>
      <c r="BF20" s="5">
        <v>-959.8</v>
      </c>
      <c r="BG20" s="5">
        <v>4836</v>
      </c>
      <c r="BH20" s="5">
        <v>-687.2</v>
      </c>
      <c r="BI20" s="5">
        <v>4805</v>
      </c>
      <c r="BJ20" s="5">
        <v>-390.2</v>
      </c>
      <c r="BK20" s="5">
        <v>4910</v>
      </c>
      <c r="BL20" s="5">
        <v>-116.1</v>
      </c>
      <c r="BM20" s="5">
        <v>5143</v>
      </c>
      <c r="BN20" s="5">
        <v>81.32</v>
      </c>
      <c r="BO20" s="5">
        <v>5459</v>
      </c>
      <c r="BP20" s="5">
        <v>149</v>
      </c>
      <c r="BQ20" s="5">
        <v>5787</v>
      </c>
      <c r="BR20" s="5">
        <v>-15.56</v>
      </c>
      <c r="BS20" s="5">
        <v>5940</v>
      </c>
      <c r="BT20" s="5">
        <v>-362.3</v>
      </c>
      <c r="BU20" s="5">
        <v>5834</v>
      </c>
      <c r="BV20" s="5">
        <v>-710.3</v>
      </c>
      <c r="BW20" s="5">
        <v>5563</v>
      </c>
      <c r="BX20" s="5">
        <v>-892.5</v>
      </c>
      <c r="BY20" s="5">
        <v>5279</v>
      </c>
      <c r="BZ20" s="5">
        <v>-883.3</v>
      </c>
      <c r="CA20" s="5">
        <v>5072</v>
      </c>
      <c r="CB20" s="5">
        <v>-743.1</v>
      </c>
      <c r="CC20" s="5">
        <v>4972</v>
      </c>
      <c r="CD20" s="5">
        <v>-538.2</v>
      </c>
      <c r="CE20" s="5">
        <v>4984</v>
      </c>
      <c r="CF20" s="5">
        <v>-320.8</v>
      </c>
      <c r="CG20" s="5">
        <v>5102</v>
      </c>
      <c r="CH20" s="5">
        <v>-137.6</v>
      </c>
      <c r="CI20" s="5">
        <v>5306</v>
      </c>
      <c r="CJ20" s="5">
        <v>-38.82</v>
      </c>
      <c r="CK20" s="5">
        <v>5542</v>
      </c>
      <c r="CL20" s="5">
        <v>-72.93</v>
      </c>
      <c r="CM20" s="5">
        <v>5718</v>
      </c>
      <c r="CN20" s="5">
        <v>-248.6</v>
      </c>
      <c r="CO20" s="5">
        <v>5746</v>
      </c>
      <c r="CP20" s="5">
        <v>-495</v>
      </c>
      <c r="CQ20" s="5">
        <v>5620</v>
      </c>
      <c r="CR20" s="5">
        <v>-695.1</v>
      </c>
      <c r="CS20" s="5">
        <v>5419</v>
      </c>
      <c r="CT20" s="5">
        <v>-772.3</v>
      </c>
      <c r="CU20" s="5">
        <v>5229</v>
      </c>
      <c r="CV20" s="5">
        <v>-727.5</v>
      </c>
      <c r="CW20" s="5">
        <v>5103</v>
      </c>
      <c r="CX20" s="5">
        <v>-599.8</v>
      </c>
      <c r="CY20" s="5">
        <v>5062</v>
      </c>
      <c r="CZ20" s="5">
        <v>-434.9</v>
      </c>
      <c r="DA20" s="5">
        <v>5110</v>
      </c>
      <c r="DB20" s="5">
        <v>-274.8</v>
      </c>
      <c r="DC20" s="5">
        <v>5236</v>
      </c>
      <c r="DD20" s="5">
        <v>-161.7</v>
      </c>
      <c r="DE20" s="5">
        <v>5409</v>
      </c>
      <c r="DF20" s="5">
        <v>-134.6</v>
      </c>
      <c r="DG20" s="5">
        <v>5573</v>
      </c>
      <c r="DH20" s="5">
        <v>-215.3</v>
      </c>
      <c r="DI20" s="5">
        <v>5656</v>
      </c>
      <c r="DJ20" s="5">
        <v>-381</v>
      </c>
      <c r="DK20" s="5">
        <v>9.4</v>
      </c>
    </row>
    <row r="21" spans="1:115" ht="18">
      <c r="A21" t="s">
        <v>53</v>
      </c>
      <c r="B21" s="1">
        <v>4.5</v>
      </c>
      <c r="C21" s="3" t="s">
        <v>93</v>
      </c>
      <c r="D21" t="s">
        <v>21</v>
      </c>
      <c r="F21" t="s">
        <v>87</v>
      </c>
      <c r="G21" t="str">
        <f>Pecoax(50,0.66,26,1.07,9.7-clad(5.5))</f>
        <v>2.52700036717315E-07,1.01080014686926E-10,0.1729002624665,0.968082421972188,0,4.17978292445992E-06</v>
      </c>
      <c r="H21" s="3" t="s">
        <v>93</v>
      </c>
      <c r="I21" t="s">
        <v>117</v>
      </c>
      <c r="J21" t="s">
        <v>100</v>
      </c>
      <c r="K21" s="5"/>
      <c r="L21" s="5">
        <v>35.94</v>
      </c>
      <c r="M21" s="5">
        <v>-499.5</v>
      </c>
      <c r="N21" s="5">
        <v>34.26</v>
      </c>
      <c r="O21" s="5">
        <v>-463.4</v>
      </c>
      <c r="P21" s="5">
        <v>33.47</v>
      </c>
      <c r="Q21" s="5">
        <v>-426.5</v>
      </c>
      <c r="R21" s="5">
        <v>33.11</v>
      </c>
      <c r="S21" s="5">
        <v>-389.1</v>
      </c>
      <c r="T21">
        <v>32.96</v>
      </c>
      <c r="U21">
        <v>-351.4</v>
      </c>
      <c r="V21" s="5">
        <v>3.6</v>
      </c>
      <c r="AA21" s="5">
        <v>3719</v>
      </c>
      <c r="AB21" s="5">
        <v>-3742</v>
      </c>
      <c r="AC21" s="5">
        <v>3210</v>
      </c>
      <c r="AD21" s="5">
        <v>-4083</v>
      </c>
      <c r="AE21" s="5">
        <v>2810</v>
      </c>
      <c r="AF21" s="5">
        <v>-3539</v>
      </c>
      <c r="AG21" s="5">
        <v>2735</v>
      </c>
      <c r="AH21" s="5">
        <v>-3019</v>
      </c>
      <c r="AI21" s="5">
        <v>2825</v>
      </c>
      <c r="AJ21" s="5">
        <v>-2612</v>
      </c>
      <c r="AK21" s="5">
        <v>3020</v>
      </c>
      <c r="AL21" s="5">
        <v>-2305</v>
      </c>
      <c r="AM21" s="5">
        <v>3306</v>
      </c>
      <c r="AN21" s="5">
        <v>-2102</v>
      </c>
      <c r="AO21" s="5">
        <v>3675</v>
      </c>
      <c r="AP21" s="5">
        <v>-2041</v>
      </c>
      <c r="AQ21" s="5">
        <v>4064</v>
      </c>
      <c r="AR21" s="5">
        <v>-2203</v>
      </c>
      <c r="AS21" s="5">
        <v>4289</v>
      </c>
      <c r="AT21" s="5">
        <v>-2619</v>
      </c>
      <c r="AU21" s="5">
        <v>4152</v>
      </c>
      <c r="AV21" s="5">
        <v>-3090</v>
      </c>
      <c r="AW21" s="5">
        <v>3757</v>
      </c>
      <c r="AX21" s="5">
        <v>-3303</v>
      </c>
      <c r="AY21" s="5">
        <v>3394</v>
      </c>
      <c r="AZ21" s="5">
        <v>-3219</v>
      </c>
      <c r="BA21" s="5">
        <v>3195</v>
      </c>
      <c r="BB21" s="5">
        <v>-2992</v>
      </c>
      <c r="BC21" s="5">
        <v>3149</v>
      </c>
      <c r="BD21" s="5">
        <v>-2741</v>
      </c>
      <c r="BE21" s="5">
        <v>3221</v>
      </c>
      <c r="BF21" s="5">
        <v>-2524</v>
      </c>
      <c r="BG21" s="5">
        <v>3379</v>
      </c>
      <c r="BH21" s="5">
        <v>-2372</v>
      </c>
      <c r="BI21" s="5">
        <v>3597</v>
      </c>
      <c r="BJ21" s="5">
        <v>-2316</v>
      </c>
      <c r="BK21" s="5">
        <v>3825</v>
      </c>
      <c r="BL21" s="5">
        <v>-2392</v>
      </c>
      <c r="BM21" s="5">
        <v>3973</v>
      </c>
      <c r="BN21" s="5">
        <v>-2603</v>
      </c>
      <c r="BO21" s="5">
        <v>3965</v>
      </c>
      <c r="BP21" s="5">
        <v>-2867</v>
      </c>
      <c r="BQ21" s="5">
        <v>3772</v>
      </c>
      <c r="BR21" s="5">
        <v>-3054</v>
      </c>
      <c r="BS21" s="5">
        <v>3529</v>
      </c>
      <c r="BT21" s="5">
        <v>-3069</v>
      </c>
      <c r="BU21" s="5">
        <v>3353</v>
      </c>
      <c r="BV21" s="5">
        <v>-2951</v>
      </c>
      <c r="BW21" s="5">
        <v>3283</v>
      </c>
      <c r="BX21" s="5">
        <v>-2779</v>
      </c>
      <c r="BY21" s="5">
        <v>3309</v>
      </c>
      <c r="BZ21" s="5">
        <v>-2611</v>
      </c>
      <c r="CA21" s="5">
        <v>3412</v>
      </c>
      <c r="CB21" s="5">
        <v>-2486</v>
      </c>
      <c r="CC21" s="5">
        <v>3567</v>
      </c>
      <c r="CD21" s="5">
        <v>-2432</v>
      </c>
      <c r="CE21" s="5">
        <v>3732</v>
      </c>
      <c r="CF21" s="5">
        <v>-2473</v>
      </c>
      <c r="CG21" s="5">
        <v>3846</v>
      </c>
      <c r="CH21" s="5">
        <v>-2610</v>
      </c>
      <c r="CI21" s="5">
        <v>3850</v>
      </c>
      <c r="CJ21" s="5">
        <v>-2794</v>
      </c>
      <c r="CK21" s="5">
        <v>3737</v>
      </c>
      <c r="CL21" s="5">
        <v>-2935</v>
      </c>
      <c r="CM21" s="5">
        <v>3571</v>
      </c>
      <c r="CN21" s="5">
        <v>-2969</v>
      </c>
      <c r="CO21" s="5">
        <v>3433</v>
      </c>
      <c r="CP21" s="5">
        <v>-2902</v>
      </c>
      <c r="CQ21" s="5">
        <v>3364</v>
      </c>
      <c r="CR21" s="5">
        <v>-2781</v>
      </c>
      <c r="CS21" s="5">
        <v>3372</v>
      </c>
      <c r="CT21" s="5">
        <v>-2651</v>
      </c>
      <c r="CU21" s="5">
        <v>3444</v>
      </c>
      <c r="CV21" s="5">
        <v>-2550</v>
      </c>
      <c r="CW21" s="5">
        <v>3559</v>
      </c>
      <c r="CX21" s="5">
        <v>-2502</v>
      </c>
      <c r="CY21" s="5">
        <v>3685</v>
      </c>
      <c r="CZ21" s="5">
        <v>-2528</v>
      </c>
      <c r="DA21" s="5">
        <v>3775</v>
      </c>
      <c r="DB21" s="5">
        <v>-2625</v>
      </c>
      <c r="DC21" s="5">
        <v>3786</v>
      </c>
      <c r="DD21" s="5">
        <v>-2761</v>
      </c>
      <c r="DE21" s="5">
        <v>3711</v>
      </c>
      <c r="DF21" s="5">
        <v>-2872</v>
      </c>
      <c r="DG21" s="5">
        <v>3588</v>
      </c>
      <c r="DH21" s="5">
        <v>-2910</v>
      </c>
      <c r="DI21" s="5">
        <v>3475</v>
      </c>
      <c r="DJ21" s="5">
        <v>-2869</v>
      </c>
      <c r="DK21" s="5">
        <v>9.8</v>
      </c>
    </row>
    <row r="22" spans="1:115" ht="18">
      <c r="A22" t="s">
        <v>54</v>
      </c>
      <c r="B22" s="1">
        <v>3.78</v>
      </c>
      <c r="C22" s="3" t="s">
        <v>93</v>
      </c>
      <c r="D22" t="s">
        <v>23</v>
      </c>
      <c r="F22" t="s">
        <v>88</v>
      </c>
      <c r="G22" t="str">
        <f>Pecoax(50,0.735,25,0.91,3.2)</f>
        <v>2.26914318684936E-07,9.07657274739745E-11,0.1348425196845,0.876675801120622,0,2.46536851980888E-06</v>
      </c>
      <c r="H22" s="3" t="s">
        <v>93</v>
      </c>
      <c r="I22" t="s">
        <v>118</v>
      </c>
      <c r="J22" t="s">
        <v>101</v>
      </c>
      <c r="K22" s="5"/>
      <c r="L22" s="5">
        <v>40.96</v>
      </c>
      <c r="M22" s="5">
        <v>-409.2</v>
      </c>
      <c r="N22" s="5">
        <v>39.21</v>
      </c>
      <c r="O22" s="5">
        <v>-379.5</v>
      </c>
      <c r="P22" s="5">
        <v>38.4</v>
      </c>
      <c r="Q22" s="5">
        <v>-348.9</v>
      </c>
      <c r="R22" s="5">
        <v>38.05</v>
      </c>
      <c r="S22" s="5">
        <v>-317.7</v>
      </c>
      <c r="T22">
        <v>37.94</v>
      </c>
      <c r="U22">
        <v>-286.3</v>
      </c>
      <c r="V22" s="5">
        <v>3.8</v>
      </c>
      <c r="AA22" s="5">
        <v>1501</v>
      </c>
      <c r="AB22" s="5">
        <v>-2976</v>
      </c>
      <c r="AC22" s="5">
        <v>1294</v>
      </c>
      <c r="AD22" s="5">
        <v>-3029</v>
      </c>
      <c r="AE22" s="5">
        <v>1283</v>
      </c>
      <c r="AF22" s="5">
        <v>-2762</v>
      </c>
      <c r="AG22" s="5">
        <v>1389</v>
      </c>
      <c r="AH22" s="5">
        <v>-2540</v>
      </c>
      <c r="AI22" s="5">
        <v>1550</v>
      </c>
      <c r="AJ22" s="5">
        <v>-2393</v>
      </c>
      <c r="AK22" s="5">
        <v>1745</v>
      </c>
      <c r="AL22" s="5">
        <v>-2326</v>
      </c>
      <c r="AM22" s="5">
        <v>1955</v>
      </c>
      <c r="AN22" s="5">
        <v>-2358</v>
      </c>
      <c r="AO22" s="5">
        <v>2127</v>
      </c>
      <c r="AP22" s="5">
        <v>-2510</v>
      </c>
      <c r="AQ22" s="5">
        <v>2168</v>
      </c>
      <c r="AR22" s="5">
        <v>-2756</v>
      </c>
      <c r="AS22" s="5">
        <v>2023</v>
      </c>
      <c r="AT22" s="5">
        <v>-2965</v>
      </c>
      <c r="AU22" s="5">
        <v>1793</v>
      </c>
      <c r="AV22" s="5">
        <v>-3006</v>
      </c>
      <c r="AW22" s="5">
        <v>1625</v>
      </c>
      <c r="AX22" s="5">
        <v>-2902</v>
      </c>
      <c r="AY22" s="5">
        <v>1564</v>
      </c>
      <c r="AZ22" s="5">
        <v>-2749</v>
      </c>
      <c r="BA22" s="5">
        <v>1591</v>
      </c>
      <c r="BB22" s="5">
        <v>-2610</v>
      </c>
      <c r="BC22" s="5">
        <v>1677</v>
      </c>
      <c r="BD22" s="5">
        <v>-2514</v>
      </c>
      <c r="BE22" s="5">
        <v>1797</v>
      </c>
      <c r="BF22" s="5">
        <v>-2477</v>
      </c>
      <c r="BG22" s="5">
        <v>1920</v>
      </c>
      <c r="BH22" s="5">
        <v>-2509</v>
      </c>
      <c r="BI22" s="5">
        <v>2007</v>
      </c>
      <c r="BJ22" s="5">
        <v>-2613</v>
      </c>
      <c r="BK22" s="5">
        <v>2010</v>
      </c>
      <c r="BL22" s="5">
        <v>-2754</v>
      </c>
      <c r="BM22" s="5">
        <v>1925</v>
      </c>
      <c r="BN22" s="5">
        <v>-2865</v>
      </c>
      <c r="BO22" s="5">
        <v>1788</v>
      </c>
      <c r="BP22" s="5">
        <v>-2887</v>
      </c>
      <c r="BQ22" s="5">
        <v>1681</v>
      </c>
      <c r="BR22" s="5">
        <v>-2822</v>
      </c>
      <c r="BS22" s="5">
        <v>1641</v>
      </c>
      <c r="BT22" s="5">
        <v>-2719</v>
      </c>
      <c r="BU22" s="5">
        <v>1663</v>
      </c>
      <c r="BV22" s="5">
        <v>-2622</v>
      </c>
      <c r="BW22" s="5">
        <v>1729</v>
      </c>
      <c r="BX22" s="5">
        <v>-2557</v>
      </c>
      <c r="BY22" s="5">
        <v>1819</v>
      </c>
      <c r="BZ22" s="5">
        <v>-2538</v>
      </c>
      <c r="CA22" s="5">
        <v>1906</v>
      </c>
      <c r="CB22" s="5">
        <v>-2574</v>
      </c>
      <c r="CC22" s="5">
        <v>1955</v>
      </c>
      <c r="CD22" s="5">
        <v>-2658</v>
      </c>
      <c r="CE22" s="5">
        <v>1941</v>
      </c>
      <c r="CF22" s="5">
        <v>-2756</v>
      </c>
      <c r="CG22" s="5">
        <v>1867</v>
      </c>
      <c r="CH22" s="5">
        <v>-2821</v>
      </c>
      <c r="CI22" s="5">
        <v>1773</v>
      </c>
      <c r="CJ22" s="5">
        <v>-2822</v>
      </c>
      <c r="CK22" s="5">
        <v>1705</v>
      </c>
      <c r="CL22" s="5">
        <v>-2769</v>
      </c>
      <c r="CM22" s="5">
        <v>1685</v>
      </c>
      <c r="CN22" s="5">
        <v>-2693</v>
      </c>
      <c r="CO22" s="5">
        <v>1710</v>
      </c>
      <c r="CP22" s="5">
        <v>-2623</v>
      </c>
      <c r="CQ22" s="5">
        <v>1767</v>
      </c>
      <c r="CR22" s="5">
        <v>-2582</v>
      </c>
      <c r="CS22" s="5">
        <v>1837</v>
      </c>
      <c r="CT22" s="5">
        <v>-2579</v>
      </c>
      <c r="CU22" s="5">
        <v>1896</v>
      </c>
      <c r="CV22" s="5">
        <v>-2619</v>
      </c>
      <c r="CW22" s="5">
        <v>1921</v>
      </c>
      <c r="CX22" s="5">
        <v>-2688</v>
      </c>
      <c r="CY22" s="5">
        <v>1895</v>
      </c>
      <c r="CZ22" s="5">
        <v>-2758</v>
      </c>
      <c r="DA22" s="5">
        <v>1832</v>
      </c>
      <c r="DB22" s="5">
        <v>-2794</v>
      </c>
      <c r="DC22" s="5">
        <v>1764</v>
      </c>
      <c r="DD22" s="5">
        <v>-2783</v>
      </c>
      <c r="DE22" s="5">
        <v>1720</v>
      </c>
      <c r="DF22" s="5">
        <v>-2735</v>
      </c>
      <c r="DG22" s="5">
        <v>1713</v>
      </c>
      <c r="DH22" s="5">
        <v>-2675</v>
      </c>
      <c r="DI22" s="5">
        <v>1741</v>
      </c>
      <c r="DJ22" s="5">
        <v>-2624</v>
      </c>
      <c r="DK22" s="5">
        <v>10.2</v>
      </c>
    </row>
    <row r="23" spans="1:115" ht="18">
      <c r="A23" t="s">
        <v>55</v>
      </c>
      <c r="B23" s="1">
        <v>5</v>
      </c>
      <c r="C23" s="3" t="s">
        <v>93</v>
      </c>
      <c r="D23" t="s">
        <v>25</v>
      </c>
      <c r="F23" t="s">
        <v>89</v>
      </c>
      <c r="G23" t="str">
        <f>Pecoax(50,0.66,13,0.12,0.17)</f>
        <v>2.52700036717315E-07,1.01080014686926E-10,0.0095144356955,0.193395500238287,0,4.17978292445992E-06</v>
      </c>
      <c r="H23" s="3" t="s">
        <v>93</v>
      </c>
      <c r="I23" t="s">
        <v>119</v>
      </c>
      <c r="J23" t="s">
        <v>100</v>
      </c>
      <c r="K23" s="5"/>
      <c r="L23" s="5">
        <v>46.58</v>
      </c>
      <c r="M23" s="5">
        <v>-322.7</v>
      </c>
      <c r="N23" s="5">
        <v>44.75</v>
      </c>
      <c r="O23" s="5">
        <v>-299</v>
      </c>
      <c r="P23" s="5">
        <v>43.93</v>
      </c>
      <c r="Q23" s="5">
        <v>-274.5</v>
      </c>
      <c r="R23" s="5">
        <v>43.6</v>
      </c>
      <c r="S23" s="5">
        <v>-249.3</v>
      </c>
      <c r="T23">
        <v>43.54</v>
      </c>
      <c r="U23">
        <v>-223.8</v>
      </c>
      <c r="V23" s="5">
        <v>4</v>
      </c>
      <c r="AA23" s="5">
        <v>755.7</v>
      </c>
      <c r="AB23" s="5">
        <v>-2189</v>
      </c>
      <c r="AC23" s="5">
        <v>657.1</v>
      </c>
      <c r="AD23" s="5">
        <v>-2224</v>
      </c>
      <c r="AE23" s="5">
        <v>694.9</v>
      </c>
      <c r="AF23" s="5">
        <v>-2104</v>
      </c>
      <c r="AG23" s="5">
        <v>789.9</v>
      </c>
      <c r="AH23" s="5">
        <v>-2012</v>
      </c>
      <c r="AI23" s="5">
        <v>907.9</v>
      </c>
      <c r="AJ23" s="5">
        <v>-1970</v>
      </c>
      <c r="AK23" s="5">
        <v>1030</v>
      </c>
      <c r="AL23" s="5">
        <v>-1987</v>
      </c>
      <c r="AM23" s="5">
        <v>1129</v>
      </c>
      <c r="AN23" s="5">
        <v>-2069</v>
      </c>
      <c r="AO23" s="5">
        <v>1158</v>
      </c>
      <c r="AP23" s="5">
        <v>-2202</v>
      </c>
      <c r="AQ23" s="5">
        <v>1088</v>
      </c>
      <c r="AR23" s="5">
        <v>-2322</v>
      </c>
      <c r="AS23" s="5">
        <v>960.2</v>
      </c>
      <c r="AT23" s="5">
        <v>-2354</v>
      </c>
      <c r="AU23" s="5">
        <v>859.5</v>
      </c>
      <c r="AV23" s="5">
        <v>-2298</v>
      </c>
      <c r="AW23" s="5">
        <v>823.6</v>
      </c>
      <c r="AX23" s="5">
        <v>-2207</v>
      </c>
      <c r="AY23" s="5">
        <v>844</v>
      </c>
      <c r="AZ23" s="5">
        <v>-2125</v>
      </c>
      <c r="BA23" s="5">
        <v>900.1</v>
      </c>
      <c r="BB23" s="5">
        <v>-2074</v>
      </c>
      <c r="BC23" s="5">
        <v>972.4</v>
      </c>
      <c r="BD23" s="5">
        <v>-2061</v>
      </c>
      <c r="BE23" s="5">
        <v>1040</v>
      </c>
      <c r="BF23" s="5">
        <v>-2091</v>
      </c>
      <c r="BG23" s="5">
        <v>1078</v>
      </c>
      <c r="BH23" s="5">
        <v>-2158</v>
      </c>
      <c r="BI23" s="5">
        <v>1063</v>
      </c>
      <c r="BJ23" s="5">
        <v>-2236</v>
      </c>
      <c r="BK23" s="5">
        <v>1003</v>
      </c>
      <c r="BL23" s="5">
        <v>-2286</v>
      </c>
      <c r="BM23" s="5">
        <v>925.9</v>
      </c>
      <c r="BN23" s="5">
        <v>-2281</v>
      </c>
      <c r="BO23" s="5">
        <v>876.5</v>
      </c>
      <c r="BP23" s="5">
        <v>-2231</v>
      </c>
      <c r="BQ23" s="5">
        <v>869</v>
      </c>
      <c r="BR23" s="5">
        <v>-2169</v>
      </c>
      <c r="BS23" s="5">
        <v>896.7</v>
      </c>
      <c r="BT23" s="5">
        <v>-2119</v>
      </c>
      <c r="BU23" s="5">
        <v>945.6</v>
      </c>
      <c r="BV23" s="5">
        <v>-2095</v>
      </c>
      <c r="BW23" s="5">
        <v>998.8</v>
      </c>
      <c r="BX23" s="5">
        <v>-2103</v>
      </c>
      <c r="BY23" s="5">
        <v>1037</v>
      </c>
      <c r="BZ23" s="5">
        <v>-2142</v>
      </c>
      <c r="CA23" s="5">
        <v>1043</v>
      </c>
      <c r="CB23" s="5">
        <v>-2198</v>
      </c>
      <c r="CC23" s="5">
        <v>1011</v>
      </c>
      <c r="CD23" s="5">
        <v>-2244</v>
      </c>
      <c r="CE23" s="5">
        <v>957.3</v>
      </c>
      <c r="CF23" s="5">
        <v>-2257</v>
      </c>
      <c r="CG23" s="5">
        <v>911.4</v>
      </c>
      <c r="CH23" s="5">
        <v>-2233</v>
      </c>
      <c r="CI23" s="5">
        <v>892.3</v>
      </c>
      <c r="CJ23" s="5">
        <v>-2190</v>
      </c>
      <c r="CK23" s="5">
        <v>902.8</v>
      </c>
      <c r="CL23" s="5">
        <v>-2147</v>
      </c>
      <c r="CM23" s="5">
        <v>935.1</v>
      </c>
      <c r="CN23" s="5">
        <v>-2119</v>
      </c>
      <c r="CO23" s="5">
        <v>976.1</v>
      </c>
      <c r="CP23" s="5">
        <v>-2116</v>
      </c>
      <c r="CQ23" s="5">
        <v>1011</v>
      </c>
      <c r="CR23" s="5">
        <v>-2139</v>
      </c>
      <c r="CS23" s="5">
        <v>1025</v>
      </c>
      <c r="CT23" s="5">
        <v>-2178</v>
      </c>
      <c r="CU23" s="5">
        <v>1010</v>
      </c>
      <c r="CV23" s="5">
        <v>-2218</v>
      </c>
      <c r="CW23" s="5">
        <v>973.3</v>
      </c>
      <c r="CX23" s="5">
        <v>-2238</v>
      </c>
      <c r="CY23" s="5">
        <v>933.8</v>
      </c>
      <c r="CZ23" s="5">
        <v>-2230</v>
      </c>
      <c r="DA23" s="5">
        <v>910.2</v>
      </c>
      <c r="DB23" s="5">
        <v>-2200</v>
      </c>
      <c r="DC23" s="5">
        <v>910.1</v>
      </c>
      <c r="DD23" s="5">
        <v>-2164</v>
      </c>
      <c r="DE23" s="5">
        <v>930.5</v>
      </c>
      <c r="DF23" s="5">
        <v>-2137</v>
      </c>
      <c r="DG23" s="5">
        <v>962.3</v>
      </c>
      <c r="DH23" s="5">
        <v>-2127</v>
      </c>
      <c r="DI23" s="5">
        <v>993.5</v>
      </c>
      <c r="DJ23" s="5">
        <v>-2139</v>
      </c>
      <c r="DK23" s="5">
        <v>10.6</v>
      </c>
    </row>
    <row r="24" spans="1:115" ht="18">
      <c r="A24" t="s">
        <v>56</v>
      </c>
      <c r="B24" s="1">
        <v>1</v>
      </c>
      <c r="C24" s="3" t="s">
        <v>93</v>
      </c>
      <c r="D24" s="5" t="s">
        <v>472</v>
      </c>
      <c r="F24" t="s">
        <v>90</v>
      </c>
      <c r="G24" t="str">
        <f>DefineCoaxZo(50,0.66,ρCu,AWG(4.4),ρCu,0.001,tanδPE,εPE)</f>
        <v>2.52700036717315E-07,1.01080014686926E-10,1.20766862516267E-03,6.92792100099639E-02,0,4.17978292445992E-06</v>
      </c>
      <c r="H24" s="3" t="s">
        <v>93</v>
      </c>
      <c r="I24" t="s">
        <v>120</v>
      </c>
      <c r="J24" t="s">
        <v>100</v>
      </c>
      <c r="K24" s="5"/>
      <c r="L24" s="5">
        <v>52.87</v>
      </c>
      <c r="M24" s="5">
        <v>-239.2</v>
      </c>
      <c r="N24" s="5">
        <v>50.96</v>
      </c>
      <c r="O24" s="5">
        <v>-221.3</v>
      </c>
      <c r="P24" s="5">
        <v>50.13</v>
      </c>
      <c r="Q24" s="5">
        <v>-202.5</v>
      </c>
      <c r="R24" s="5">
        <v>49.84</v>
      </c>
      <c r="S24" s="5">
        <v>-183.1</v>
      </c>
      <c r="T24">
        <v>49.85</v>
      </c>
      <c r="U24">
        <v>-163.4</v>
      </c>
      <c r="V24" s="5">
        <v>4.2</v>
      </c>
      <c r="AA24" s="5">
        <v>451.2</v>
      </c>
      <c r="AB24" s="5">
        <v>-1660</v>
      </c>
      <c r="AC24" s="5">
        <v>390.6</v>
      </c>
      <c r="AD24" s="5">
        <v>-1697</v>
      </c>
      <c r="AE24" s="5">
        <v>425.6</v>
      </c>
      <c r="AF24" s="5">
        <v>-1641</v>
      </c>
      <c r="AG24" s="5">
        <v>494.6</v>
      </c>
      <c r="AH24" s="5">
        <v>-1603</v>
      </c>
      <c r="AI24" s="5">
        <v>572.7</v>
      </c>
      <c r="AJ24" s="5">
        <v>-1600</v>
      </c>
      <c r="AK24" s="5">
        <v>642</v>
      </c>
      <c r="AL24" s="5">
        <v>-1637</v>
      </c>
      <c r="AM24" s="5">
        <v>678.2</v>
      </c>
      <c r="AN24" s="5">
        <v>-1710</v>
      </c>
      <c r="AO24" s="5">
        <v>657</v>
      </c>
      <c r="AP24" s="5">
        <v>-1791</v>
      </c>
      <c r="AQ24" s="5">
        <v>586.5</v>
      </c>
      <c r="AR24" s="5">
        <v>-1832</v>
      </c>
      <c r="AS24" s="5">
        <v>514.9</v>
      </c>
      <c r="AT24" s="5">
        <v>-1813</v>
      </c>
      <c r="AU24" s="5">
        <v>480.5</v>
      </c>
      <c r="AV24" s="5">
        <v>-1759</v>
      </c>
      <c r="AW24" s="5">
        <v>486.3</v>
      </c>
      <c r="AX24" s="5">
        <v>-1704</v>
      </c>
      <c r="AY24" s="5">
        <v>519.3</v>
      </c>
      <c r="AZ24" s="5">
        <v>-1667</v>
      </c>
      <c r="BA24" s="5">
        <v>564.6</v>
      </c>
      <c r="BB24" s="5">
        <v>-1657</v>
      </c>
      <c r="BC24" s="5">
        <v>607.4</v>
      </c>
      <c r="BD24" s="5">
        <v>-1674</v>
      </c>
      <c r="BE24" s="5">
        <v>631.1</v>
      </c>
      <c r="BF24" s="5">
        <v>-1715</v>
      </c>
      <c r="BG24" s="5">
        <v>622.3</v>
      </c>
      <c r="BH24" s="5">
        <v>-1763</v>
      </c>
      <c r="BI24" s="5">
        <v>585</v>
      </c>
      <c r="BJ24" s="5">
        <v>-1793</v>
      </c>
      <c r="BK24" s="5">
        <v>537.7</v>
      </c>
      <c r="BL24" s="5">
        <v>-1789</v>
      </c>
      <c r="BM24" s="5">
        <v>508.4</v>
      </c>
      <c r="BN24" s="5">
        <v>-1756</v>
      </c>
      <c r="BO24" s="5">
        <v>506.7</v>
      </c>
      <c r="BP24" s="5">
        <v>-1717</v>
      </c>
      <c r="BQ24" s="5">
        <v>527.5</v>
      </c>
      <c r="BR24" s="5">
        <v>-1687</v>
      </c>
      <c r="BS24" s="5">
        <v>560.2</v>
      </c>
      <c r="BT24" s="5">
        <v>-1676</v>
      </c>
      <c r="BU24" s="5">
        <v>592.5</v>
      </c>
      <c r="BV24" s="5">
        <v>-1687</v>
      </c>
      <c r="BW24" s="5">
        <v>611.5</v>
      </c>
      <c r="BX24" s="5">
        <v>-1716</v>
      </c>
      <c r="BY24" s="5">
        <v>607.1</v>
      </c>
      <c r="BZ24" s="5">
        <v>-1751</v>
      </c>
      <c r="CA24" s="5">
        <v>580.5</v>
      </c>
      <c r="CB24" s="5">
        <v>-1774</v>
      </c>
      <c r="CC24" s="5">
        <v>546.5</v>
      </c>
      <c r="CD24" s="5">
        <v>-1773</v>
      </c>
      <c r="CE24" s="5">
        <v>523.5</v>
      </c>
      <c r="CF24" s="5">
        <v>-1751</v>
      </c>
      <c r="CG24" s="5">
        <v>520.2</v>
      </c>
      <c r="CH24" s="5">
        <v>-1721</v>
      </c>
      <c r="CI24" s="5">
        <v>535</v>
      </c>
      <c r="CJ24" s="5">
        <v>-1698</v>
      </c>
      <c r="CK24" s="5">
        <v>559.9</v>
      </c>
      <c r="CL24" s="5">
        <v>-1689</v>
      </c>
      <c r="CM24" s="5">
        <v>584.9</v>
      </c>
      <c r="CN24" s="5">
        <v>-1697</v>
      </c>
      <c r="CO24" s="5">
        <v>599.5</v>
      </c>
      <c r="CP24" s="5">
        <v>-1719</v>
      </c>
      <c r="CQ24" s="5">
        <v>596.5</v>
      </c>
      <c r="CR24" s="5">
        <v>-1745</v>
      </c>
      <c r="CS24" s="5">
        <v>576.6</v>
      </c>
      <c r="CT24" s="5">
        <v>-1763</v>
      </c>
      <c r="CU24" s="5">
        <v>550.7</v>
      </c>
      <c r="CV24" s="5">
        <v>-1763</v>
      </c>
      <c r="CW24" s="5">
        <v>532.3</v>
      </c>
      <c r="CX24" s="5">
        <v>-1746</v>
      </c>
      <c r="CY24" s="5">
        <v>529</v>
      </c>
      <c r="CZ24" s="5">
        <v>-1723</v>
      </c>
      <c r="DA24" s="5">
        <v>540.4</v>
      </c>
      <c r="DB24" s="5">
        <v>-1704</v>
      </c>
      <c r="DC24" s="5">
        <v>560.3</v>
      </c>
      <c r="DD24" s="5">
        <v>-1697</v>
      </c>
      <c r="DE24" s="5">
        <v>580.5</v>
      </c>
      <c r="DF24" s="5">
        <v>-1703</v>
      </c>
      <c r="DG24" s="5">
        <v>592.2</v>
      </c>
      <c r="DH24" s="5">
        <v>-1721</v>
      </c>
      <c r="DI24" s="5">
        <v>589.6</v>
      </c>
      <c r="DJ24" s="5">
        <v>-1742</v>
      </c>
      <c r="DK24" s="5">
        <v>11</v>
      </c>
    </row>
    <row r="25" spans="1:115" ht="18">
      <c r="A25" t="s">
        <v>61</v>
      </c>
      <c r="B25">
        <f>1/SQRT(εPE)</f>
        <v>0.6651901052377394</v>
      </c>
      <c r="C25" s="3" t="s">
        <v>93</v>
      </c>
      <c r="D25" t="s">
        <v>18</v>
      </c>
      <c r="F25" t="s">
        <v>91</v>
      </c>
      <c r="G25" t="str">
        <f>Pecoax(50,0.85,7.1,0.127,0.068)</f>
        <v>1.96214146156974E-07,7.84856584627897E-11,0.00639763779525,0.125121681734804,0,9.62065527665747E-07</v>
      </c>
      <c r="H25" s="3" t="s">
        <v>93</v>
      </c>
      <c r="I25" t="s">
        <v>121</v>
      </c>
      <c r="J25" t="s">
        <v>101</v>
      </c>
      <c r="K25" s="5"/>
      <c r="L25" s="5">
        <v>59.94</v>
      </c>
      <c r="M25" s="5">
        <v>-157.7</v>
      </c>
      <c r="N25" s="5">
        <v>57.95</v>
      </c>
      <c r="O25" s="5">
        <v>-145.5</v>
      </c>
      <c r="P25" s="5">
        <v>57.12</v>
      </c>
      <c r="Q25" s="5">
        <v>-132.3</v>
      </c>
      <c r="R25" s="5">
        <v>56.88</v>
      </c>
      <c r="S25" s="5">
        <v>-118.5</v>
      </c>
      <c r="T25">
        <v>56.98</v>
      </c>
      <c r="U25">
        <v>-104.4</v>
      </c>
      <c r="V25" s="5">
        <v>4.4</v>
      </c>
      <c r="AA25" s="5">
        <v>303.7</v>
      </c>
      <c r="AB25" s="5">
        <v>-1293</v>
      </c>
      <c r="AC25" s="5">
        <v>258.2</v>
      </c>
      <c r="AD25" s="5">
        <v>-1331</v>
      </c>
      <c r="AE25" s="5">
        <v>284.1</v>
      </c>
      <c r="AF25" s="5">
        <v>-1304</v>
      </c>
      <c r="AG25" s="5">
        <v>332.6</v>
      </c>
      <c r="AH25" s="5">
        <v>-1290</v>
      </c>
      <c r="AI25" s="5">
        <v>383.5</v>
      </c>
      <c r="AJ25" s="5">
        <v>-1302</v>
      </c>
      <c r="AK25" s="5">
        <v>421</v>
      </c>
      <c r="AL25" s="5">
        <v>-1339</v>
      </c>
      <c r="AM25" s="5">
        <v>427.3</v>
      </c>
      <c r="AN25" s="5">
        <v>-1393</v>
      </c>
      <c r="AO25" s="5">
        <v>394.8</v>
      </c>
      <c r="AP25" s="5">
        <v>-1436</v>
      </c>
      <c r="AQ25" s="5">
        <v>344.3</v>
      </c>
      <c r="AR25" s="5">
        <v>-1442</v>
      </c>
      <c r="AS25" s="5">
        <v>309.2</v>
      </c>
      <c r="AT25" s="5">
        <v>-1414</v>
      </c>
      <c r="AU25" s="5">
        <v>302.8</v>
      </c>
      <c r="AV25" s="5">
        <v>-1376</v>
      </c>
      <c r="AW25" s="5">
        <v>319.7</v>
      </c>
      <c r="AX25" s="5">
        <v>-1346</v>
      </c>
      <c r="AY25" s="5">
        <v>348.7</v>
      </c>
      <c r="AZ25" s="5">
        <v>-1333</v>
      </c>
      <c r="BA25" s="5">
        <v>378.6</v>
      </c>
      <c r="BB25" s="5">
        <v>-1340</v>
      </c>
      <c r="BC25" s="5">
        <v>397.8</v>
      </c>
      <c r="BD25" s="5">
        <v>-1365</v>
      </c>
      <c r="BE25" s="5">
        <v>396.1</v>
      </c>
      <c r="BF25" s="5">
        <v>-1397</v>
      </c>
      <c r="BG25" s="5">
        <v>372.8</v>
      </c>
      <c r="BH25" s="5">
        <v>-1419</v>
      </c>
      <c r="BI25" s="5">
        <v>342.3</v>
      </c>
      <c r="BJ25" s="5">
        <v>-1419</v>
      </c>
      <c r="BK25" s="5">
        <v>321.2</v>
      </c>
      <c r="BL25" s="5">
        <v>-1399</v>
      </c>
      <c r="BM25" s="5">
        <v>319</v>
      </c>
      <c r="BN25" s="5">
        <v>-1372</v>
      </c>
      <c r="BO25" s="5">
        <v>332.9</v>
      </c>
      <c r="BP25" s="5">
        <v>-1352</v>
      </c>
      <c r="BQ25" s="5">
        <v>355.2</v>
      </c>
      <c r="BR25" s="5">
        <v>-1345</v>
      </c>
      <c r="BS25" s="5">
        <v>376.5</v>
      </c>
      <c r="BT25" s="5">
        <v>-1354</v>
      </c>
      <c r="BU25" s="5">
        <v>387.7</v>
      </c>
      <c r="BV25" s="5">
        <v>-1374</v>
      </c>
      <c r="BW25" s="5">
        <v>382.5</v>
      </c>
      <c r="BX25" s="5">
        <v>-1397</v>
      </c>
      <c r="BY25" s="5">
        <v>363</v>
      </c>
      <c r="BZ25" s="5">
        <v>-1410</v>
      </c>
      <c r="CA25" s="5">
        <v>340.8</v>
      </c>
      <c r="CB25" s="5">
        <v>-1406</v>
      </c>
      <c r="CC25" s="5">
        <v>327.9</v>
      </c>
      <c r="CD25" s="5">
        <v>-1389</v>
      </c>
      <c r="CE25" s="5">
        <v>329.4</v>
      </c>
      <c r="CF25" s="5">
        <v>-1369</v>
      </c>
      <c r="CG25" s="5">
        <v>342.3</v>
      </c>
      <c r="CH25" s="5">
        <v>-1356</v>
      </c>
      <c r="CI25" s="5">
        <v>360.2</v>
      </c>
      <c r="CJ25" s="5">
        <v>-1354</v>
      </c>
      <c r="CK25" s="5">
        <v>375.2</v>
      </c>
      <c r="CL25" s="5">
        <v>-1363</v>
      </c>
      <c r="CM25" s="5">
        <v>380.4</v>
      </c>
      <c r="CN25" s="5">
        <v>-1380</v>
      </c>
      <c r="CO25" s="5">
        <v>372.6</v>
      </c>
      <c r="CP25" s="5">
        <v>-1397</v>
      </c>
      <c r="CQ25" s="5">
        <v>356</v>
      </c>
      <c r="CR25" s="5">
        <v>-1403</v>
      </c>
      <c r="CS25" s="5">
        <v>340</v>
      </c>
      <c r="CT25" s="5">
        <v>-1397</v>
      </c>
      <c r="CU25" s="5">
        <v>332.9</v>
      </c>
      <c r="CV25" s="5">
        <v>-1382</v>
      </c>
      <c r="CW25" s="5">
        <v>337</v>
      </c>
      <c r="CX25" s="5">
        <v>-1367</v>
      </c>
      <c r="CY25" s="5">
        <v>349.1</v>
      </c>
      <c r="CZ25" s="5">
        <v>-1359</v>
      </c>
      <c r="DA25" s="5">
        <v>363.5</v>
      </c>
      <c r="DB25" s="5">
        <v>-1360</v>
      </c>
      <c r="DC25" s="5">
        <v>373.7</v>
      </c>
      <c r="DD25" s="5">
        <v>-1370</v>
      </c>
      <c r="DE25" s="5">
        <v>374.6</v>
      </c>
      <c r="DF25" s="5">
        <v>-1385</v>
      </c>
      <c r="DG25" s="5">
        <v>365.5</v>
      </c>
      <c r="DH25" s="5">
        <v>-1396</v>
      </c>
      <c r="DI25" s="5">
        <v>351.3</v>
      </c>
      <c r="DJ25" s="5">
        <v>-1398</v>
      </c>
      <c r="DK25" s="5">
        <v>11.4</v>
      </c>
    </row>
    <row r="26" spans="1:115" ht="18">
      <c r="A26" t="s">
        <v>52</v>
      </c>
      <c r="B26" s="1">
        <v>0.695</v>
      </c>
      <c r="C26" s="3" t="s">
        <v>93</v>
      </c>
      <c r="D26" t="s">
        <v>19</v>
      </c>
      <c r="F26" t="s">
        <v>92</v>
      </c>
      <c r="G26" t="str">
        <f>Pecoax(50,0.86,5.3,0.12,0.053-clad(0.031))</f>
        <v>1.9393258631794E-07,7.75730345271759E-11,0.0046587926509,8.20522997391141E-02,0,8.71653870451835E-07</v>
      </c>
      <c r="H26" s="3" t="s">
        <v>93</v>
      </c>
      <c r="I26" t="s">
        <v>122</v>
      </c>
      <c r="J26" t="s">
        <v>101</v>
      </c>
      <c r="K26" s="5"/>
      <c r="L26" s="5">
        <v>67.89</v>
      </c>
      <c r="M26" s="5">
        <v>-77.63</v>
      </c>
      <c r="N26" s="5">
        <v>65.82</v>
      </c>
      <c r="O26" s="5">
        <v>-70.98</v>
      </c>
      <c r="P26" s="5">
        <v>65.01</v>
      </c>
      <c r="Q26" s="5">
        <v>-63.21</v>
      </c>
      <c r="R26" s="5">
        <v>64.84</v>
      </c>
      <c r="S26" s="5">
        <v>-54.89</v>
      </c>
      <c r="T26">
        <v>65.06</v>
      </c>
      <c r="U26">
        <v>-46.17</v>
      </c>
      <c r="V26" s="5">
        <v>4.6</v>
      </c>
      <c r="AA26" s="5">
        <v>223.7</v>
      </c>
      <c r="AB26" s="5">
        <v>-1021</v>
      </c>
      <c r="AC26" s="5">
        <v>184.8</v>
      </c>
      <c r="AD26" s="5">
        <v>-1058</v>
      </c>
      <c r="AE26" s="5">
        <v>202.6</v>
      </c>
      <c r="AF26" s="5">
        <v>-1046</v>
      </c>
      <c r="AG26" s="5">
        <v>236.6</v>
      </c>
      <c r="AH26" s="5">
        <v>-1043</v>
      </c>
      <c r="AI26" s="5">
        <v>269.5</v>
      </c>
      <c r="AJ26" s="5">
        <v>-1059</v>
      </c>
      <c r="AK26" s="5">
        <v>288.4</v>
      </c>
      <c r="AL26" s="5">
        <v>-1091</v>
      </c>
      <c r="AM26" s="5">
        <v>281.7</v>
      </c>
      <c r="AN26" s="5">
        <v>-1128</v>
      </c>
      <c r="AO26" s="5">
        <v>251.6</v>
      </c>
      <c r="AP26" s="5">
        <v>-1148</v>
      </c>
      <c r="AQ26" s="5">
        <v>219.4</v>
      </c>
      <c r="AR26" s="5">
        <v>-1140</v>
      </c>
      <c r="AS26" s="5">
        <v>204.4</v>
      </c>
      <c r="AT26" s="5">
        <v>-1116</v>
      </c>
      <c r="AU26" s="5">
        <v>209.2</v>
      </c>
      <c r="AV26" s="5">
        <v>-1091</v>
      </c>
      <c r="AW26" s="5">
        <v>226.7</v>
      </c>
      <c r="AX26" s="5">
        <v>-1077</v>
      </c>
      <c r="AY26" s="5">
        <v>248.2</v>
      </c>
      <c r="AZ26" s="5">
        <v>-1076</v>
      </c>
      <c r="BA26" s="5">
        <v>264.8</v>
      </c>
      <c r="BB26" s="5">
        <v>-1090</v>
      </c>
      <c r="BC26" s="5">
        <v>268.4</v>
      </c>
      <c r="BD26" s="5">
        <v>-1111</v>
      </c>
      <c r="BE26" s="5">
        <v>255.9</v>
      </c>
      <c r="BF26" s="5">
        <v>-1129</v>
      </c>
      <c r="BG26" s="5">
        <v>235</v>
      </c>
      <c r="BH26" s="5">
        <v>-1133</v>
      </c>
      <c r="BI26" s="5">
        <v>218.1</v>
      </c>
      <c r="BJ26" s="5">
        <v>-1122</v>
      </c>
      <c r="BK26" s="5">
        <v>214.3</v>
      </c>
      <c r="BL26" s="5">
        <v>-1103</v>
      </c>
      <c r="BM26" s="5">
        <v>222.8</v>
      </c>
      <c r="BN26" s="5">
        <v>-1088</v>
      </c>
      <c r="BO26" s="5">
        <v>238.2</v>
      </c>
      <c r="BP26" s="5">
        <v>-1082</v>
      </c>
      <c r="BQ26" s="5">
        <v>253.3</v>
      </c>
      <c r="BR26" s="5">
        <v>-1088</v>
      </c>
      <c r="BS26" s="5">
        <v>261.3</v>
      </c>
      <c r="BT26" s="5">
        <v>-1102</v>
      </c>
      <c r="BU26" s="5">
        <v>257.5</v>
      </c>
      <c r="BV26" s="5">
        <v>-1118</v>
      </c>
      <c r="BW26" s="5">
        <v>243.6</v>
      </c>
      <c r="BX26" s="5">
        <v>-1127</v>
      </c>
      <c r="BY26" s="5">
        <v>228.2</v>
      </c>
      <c r="BZ26" s="5">
        <v>-1123</v>
      </c>
      <c r="CA26" s="5">
        <v>220.1</v>
      </c>
      <c r="CB26" s="5">
        <v>-1110</v>
      </c>
      <c r="CC26" s="5">
        <v>222.5</v>
      </c>
      <c r="CD26" s="5">
        <v>-1097</v>
      </c>
      <c r="CE26" s="5">
        <v>232.8</v>
      </c>
      <c r="CF26" s="5">
        <v>-1088</v>
      </c>
      <c r="CG26" s="5">
        <v>245.6</v>
      </c>
      <c r="CH26" s="5">
        <v>-1089</v>
      </c>
      <c r="CI26" s="5">
        <v>254.9</v>
      </c>
      <c r="CJ26" s="5">
        <v>-1097</v>
      </c>
      <c r="CK26" s="5">
        <v>255.9</v>
      </c>
      <c r="CL26" s="5">
        <v>-1110</v>
      </c>
      <c r="CM26" s="5">
        <v>247.8</v>
      </c>
      <c r="CN26" s="5">
        <v>-1120</v>
      </c>
      <c r="CO26" s="5">
        <v>235.3</v>
      </c>
      <c r="CP26" s="5">
        <v>-1121</v>
      </c>
      <c r="CQ26" s="5">
        <v>225.8</v>
      </c>
      <c r="CR26" s="5">
        <v>-1114</v>
      </c>
      <c r="CS26" s="5">
        <v>224.1</v>
      </c>
      <c r="CT26" s="5">
        <v>-1103</v>
      </c>
      <c r="CU26" s="5">
        <v>230.1</v>
      </c>
      <c r="CV26" s="5">
        <v>-1094</v>
      </c>
      <c r="CW26" s="5">
        <v>240.2</v>
      </c>
      <c r="CX26" s="5">
        <v>-1091</v>
      </c>
      <c r="CY26" s="5">
        <v>249.5</v>
      </c>
      <c r="CZ26" s="5">
        <v>-1095</v>
      </c>
      <c r="DA26" s="5">
        <v>253.3</v>
      </c>
      <c r="DB26" s="5">
        <v>-1105</v>
      </c>
      <c r="DC26" s="5">
        <v>249.5</v>
      </c>
      <c r="DD26" s="5">
        <v>-1115</v>
      </c>
      <c r="DE26" s="5">
        <v>240.1</v>
      </c>
      <c r="DF26" s="5">
        <v>-1119</v>
      </c>
      <c r="DG26" s="5">
        <v>230.7</v>
      </c>
      <c r="DH26" s="5">
        <v>-1116</v>
      </c>
      <c r="DI26" s="5">
        <v>226.5</v>
      </c>
      <c r="DJ26" s="5">
        <v>-1107</v>
      </c>
      <c r="DK26" s="5">
        <v>11.8</v>
      </c>
    </row>
    <row r="27" spans="1:115" ht="18">
      <c r="A27" t="s">
        <v>58</v>
      </c>
      <c r="B27">
        <f>1/SQRT(εPVC)</f>
        <v>0.47140452079103173</v>
      </c>
      <c r="C27" s="3" t="s">
        <v>93</v>
      </c>
      <c r="D27" t="s">
        <v>22</v>
      </c>
      <c r="I27" s="3" t="s">
        <v>102</v>
      </c>
      <c r="K27" s="5"/>
      <c r="L27" s="5">
        <v>76.86</v>
      </c>
      <c r="M27" s="5">
        <v>1.827</v>
      </c>
      <c r="N27" s="5">
        <v>74.72</v>
      </c>
      <c r="O27" s="5">
        <v>3.013</v>
      </c>
      <c r="P27" s="5">
        <v>73.94</v>
      </c>
      <c r="Q27" s="5">
        <v>5.356</v>
      </c>
      <c r="R27" s="5">
        <v>73.87</v>
      </c>
      <c r="S27" s="5">
        <v>8.32</v>
      </c>
      <c r="T27">
        <v>74.25</v>
      </c>
      <c r="U27">
        <v>11.67</v>
      </c>
      <c r="V27" s="5">
        <v>4.8</v>
      </c>
      <c r="AA27" s="5">
        <v>177.3</v>
      </c>
      <c r="AB27" s="5">
        <v>-807.1</v>
      </c>
      <c r="AC27" s="5">
        <v>141.4</v>
      </c>
      <c r="AD27" s="5">
        <v>-841.2</v>
      </c>
      <c r="AE27" s="5">
        <v>153.1</v>
      </c>
      <c r="AF27" s="5">
        <v>-837</v>
      </c>
      <c r="AG27" s="5">
        <v>176.9</v>
      </c>
      <c r="AH27" s="5">
        <v>-839.6</v>
      </c>
      <c r="AI27" s="5">
        <v>198.2</v>
      </c>
      <c r="AJ27" s="5">
        <v>-855.3</v>
      </c>
      <c r="AK27" s="5">
        <v>206.3</v>
      </c>
      <c r="AL27" s="5">
        <v>-881.1</v>
      </c>
      <c r="AM27" s="5">
        <v>194.8</v>
      </c>
      <c r="AN27" s="5">
        <v>-905.3</v>
      </c>
      <c r="AO27" s="5">
        <v>171</v>
      </c>
      <c r="AP27" s="5">
        <v>-912.7</v>
      </c>
      <c r="AQ27" s="5">
        <v>151.9</v>
      </c>
      <c r="AR27" s="5">
        <v>-901.4</v>
      </c>
      <c r="AS27" s="5">
        <v>147.4</v>
      </c>
      <c r="AT27" s="5">
        <v>-882.8</v>
      </c>
      <c r="AU27" s="5">
        <v>155.7</v>
      </c>
      <c r="AV27" s="5">
        <v>-868.1</v>
      </c>
      <c r="AW27" s="5">
        <v>170.3</v>
      </c>
      <c r="AX27" s="5">
        <v>-862.9</v>
      </c>
      <c r="AY27" s="5">
        <v>184.4</v>
      </c>
      <c r="AZ27" s="5">
        <v>-868.4</v>
      </c>
      <c r="BA27" s="5">
        <v>191.2</v>
      </c>
      <c r="BB27" s="5">
        <v>-882</v>
      </c>
      <c r="BC27" s="5">
        <v>186.3</v>
      </c>
      <c r="BD27" s="5">
        <v>-896.8</v>
      </c>
      <c r="BE27" s="5">
        <v>172.3</v>
      </c>
      <c r="BF27" s="5">
        <v>-903.4</v>
      </c>
      <c r="BG27" s="5">
        <v>158.8</v>
      </c>
      <c r="BH27" s="5">
        <v>-897.8</v>
      </c>
      <c r="BI27" s="5">
        <v>153.5</v>
      </c>
      <c r="BJ27" s="5">
        <v>-885.2</v>
      </c>
      <c r="BK27" s="5">
        <v>157.9</v>
      </c>
      <c r="BL27" s="5">
        <v>-873.4</v>
      </c>
      <c r="BM27" s="5">
        <v>168.3</v>
      </c>
      <c r="BN27" s="5">
        <v>-867.9</v>
      </c>
      <c r="BO27" s="5">
        <v>179.6</v>
      </c>
      <c r="BP27" s="5">
        <v>-870.6</v>
      </c>
      <c r="BQ27" s="5">
        <v>186.1</v>
      </c>
      <c r="BR27" s="5">
        <v>-880.2</v>
      </c>
      <c r="BS27" s="5">
        <v>184.1</v>
      </c>
      <c r="BT27" s="5">
        <v>-891.8</v>
      </c>
      <c r="BU27" s="5">
        <v>174.4</v>
      </c>
      <c r="BV27" s="5">
        <v>-898.6</v>
      </c>
      <c r="BW27" s="5">
        <v>163.1</v>
      </c>
      <c r="BX27" s="5">
        <v>-896.2</v>
      </c>
      <c r="BY27" s="5">
        <v>157.2</v>
      </c>
      <c r="BZ27" s="5">
        <v>-887</v>
      </c>
      <c r="CA27" s="5">
        <v>159.3</v>
      </c>
      <c r="CB27" s="5">
        <v>-877</v>
      </c>
      <c r="CC27" s="5">
        <v>167.2</v>
      </c>
      <c r="CD27" s="5">
        <v>-871.3</v>
      </c>
      <c r="CE27" s="5">
        <v>176.5</v>
      </c>
      <c r="CF27" s="5">
        <v>-872.4</v>
      </c>
      <c r="CG27" s="5">
        <v>182.6</v>
      </c>
      <c r="CH27" s="5">
        <v>-879.5</v>
      </c>
      <c r="CI27" s="5">
        <v>182.1</v>
      </c>
      <c r="CJ27" s="5">
        <v>-888.9</v>
      </c>
      <c r="CK27" s="5">
        <v>175.1</v>
      </c>
      <c r="CL27" s="5">
        <v>-895.1</v>
      </c>
      <c r="CM27" s="5">
        <v>165.9</v>
      </c>
      <c r="CN27" s="5">
        <v>-894.4</v>
      </c>
      <c r="CO27" s="5">
        <v>160.3</v>
      </c>
      <c r="CP27" s="5">
        <v>-887.7</v>
      </c>
      <c r="CQ27" s="5">
        <v>160.9</v>
      </c>
      <c r="CR27" s="5">
        <v>-879.3</v>
      </c>
      <c r="CS27" s="5">
        <v>166.8</v>
      </c>
      <c r="CT27" s="5">
        <v>-874</v>
      </c>
      <c r="CU27" s="5">
        <v>174.5</v>
      </c>
      <c r="CV27" s="5">
        <v>-874.1</v>
      </c>
      <c r="CW27" s="5">
        <v>180.1</v>
      </c>
      <c r="CX27" s="5">
        <v>-879.4</v>
      </c>
      <c r="CY27" s="5">
        <v>180.4</v>
      </c>
      <c r="CZ27" s="5">
        <v>-887</v>
      </c>
      <c r="DA27" s="5">
        <v>175.2</v>
      </c>
      <c r="DB27" s="5">
        <v>-892.7</v>
      </c>
      <c r="DC27" s="5">
        <v>167.7</v>
      </c>
      <c r="DD27" s="5">
        <v>-892.9</v>
      </c>
      <c r="DE27" s="5">
        <v>162.4</v>
      </c>
      <c r="DF27" s="5">
        <v>-887.8</v>
      </c>
      <c r="DG27" s="5">
        <v>162.3</v>
      </c>
      <c r="DH27" s="5">
        <v>-880.9</v>
      </c>
      <c r="DI27" s="5">
        <v>166.8</v>
      </c>
      <c r="DJ27" s="5">
        <v>-875.9</v>
      </c>
      <c r="DK27" s="5">
        <v>12.2</v>
      </c>
    </row>
    <row r="28" spans="1:115" ht="18">
      <c r="A28" t="s">
        <v>59</v>
      </c>
      <c r="B28">
        <f>1/SQRT(εQUARTZ)</f>
        <v>0.5143444998736397</v>
      </c>
      <c r="C28" s="3" t="s">
        <v>93</v>
      </c>
      <c r="D28" t="s">
        <v>24</v>
      </c>
      <c r="I28" s="3" t="s">
        <v>103</v>
      </c>
      <c r="K28" s="5"/>
      <c r="L28" s="5">
        <v>87.05</v>
      </c>
      <c r="M28" s="5">
        <v>81.42</v>
      </c>
      <c r="N28" s="5">
        <v>84.83</v>
      </c>
      <c r="O28" s="5">
        <v>77.16</v>
      </c>
      <c r="P28" s="5">
        <v>84.1</v>
      </c>
      <c r="Q28" s="5">
        <v>74.09</v>
      </c>
      <c r="R28" s="5">
        <v>84.15</v>
      </c>
      <c r="S28" s="5">
        <v>71.71</v>
      </c>
      <c r="T28">
        <v>84.74</v>
      </c>
      <c r="U28">
        <v>69.73</v>
      </c>
      <c r="V28" s="5">
        <v>5</v>
      </c>
      <c r="AA28" s="5">
        <v>149.7</v>
      </c>
      <c r="AB28" s="5">
        <v>-630.9</v>
      </c>
      <c r="AC28" s="5">
        <v>115.2</v>
      </c>
      <c r="AD28" s="5">
        <v>-661.2</v>
      </c>
      <c r="AE28" s="5">
        <v>122.4</v>
      </c>
      <c r="AF28" s="5">
        <v>-660.6</v>
      </c>
      <c r="AG28" s="5">
        <v>139.3</v>
      </c>
      <c r="AH28" s="5">
        <v>-665.5</v>
      </c>
      <c r="AI28" s="5">
        <v>153.1</v>
      </c>
      <c r="AJ28" s="5">
        <v>-680</v>
      </c>
      <c r="AK28" s="5">
        <v>155.1</v>
      </c>
      <c r="AL28" s="5">
        <v>-700.1</v>
      </c>
      <c r="AM28" s="5">
        <v>143</v>
      </c>
      <c r="AN28" s="5">
        <v>-715.4</v>
      </c>
      <c r="AO28" s="5">
        <v>125.4</v>
      </c>
      <c r="AP28" s="5">
        <v>-716.3</v>
      </c>
      <c r="AQ28" s="5">
        <v>114.8</v>
      </c>
      <c r="AR28" s="5">
        <v>-705.5</v>
      </c>
      <c r="AS28" s="5">
        <v>115.3</v>
      </c>
      <c r="AT28" s="5">
        <v>-692.4</v>
      </c>
      <c r="AU28" s="5">
        <v>123.7</v>
      </c>
      <c r="AV28" s="5">
        <v>-684.3</v>
      </c>
      <c r="AW28" s="5">
        <v>134.6</v>
      </c>
      <c r="AX28" s="5">
        <v>-684.2</v>
      </c>
      <c r="AY28" s="5">
        <v>142.6</v>
      </c>
      <c r="AZ28" s="5">
        <v>-691.5</v>
      </c>
      <c r="BA28" s="5">
        <v>142.9</v>
      </c>
      <c r="BB28" s="5">
        <v>-702.6</v>
      </c>
      <c r="BC28" s="5">
        <v>134.9</v>
      </c>
      <c r="BD28" s="5">
        <v>-710.3</v>
      </c>
      <c r="BE28" s="5">
        <v>124.4</v>
      </c>
      <c r="BF28" s="5">
        <v>-709.1</v>
      </c>
      <c r="BG28" s="5">
        <v>118.2</v>
      </c>
      <c r="BH28" s="5">
        <v>-701.3</v>
      </c>
      <c r="BI28" s="5">
        <v>119.5</v>
      </c>
      <c r="BJ28" s="5">
        <v>-692.2</v>
      </c>
      <c r="BK28" s="5">
        <v>126.2</v>
      </c>
      <c r="BL28" s="5">
        <v>-686.8</v>
      </c>
      <c r="BM28" s="5">
        <v>134.6</v>
      </c>
      <c r="BN28" s="5">
        <v>-687.4</v>
      </c>
      <c r="BO28" s="5">
        <v>140.2</v>
      </c>
      <c r="BP28" s="5">
        <v>-693.6</v>
      </c>
      <c r="BQ28" s="5">
        <v>139.9</v>
      </c>
      <c r="BR28" s="5">
        <v>-702.2</v>
      </c>
      <c r="BS28" s="5">
        <v>133.3</v>
      </c>
      <c r="BT28" s="5">
        <v>-707.8</v>
      </c>
      <c r="BU28" s="5">
        <v>124.9</v>
      </c>
      <c r="BV28" s="5">
        <v>-706.7</v>
      </c>
      <c r="BW28" s="5">
        <v>120.1</v>
      </c>
      <c r="BX28" s="5">
        <v>-700.2</v>
      </c>
      <c r="BY28" s="5">
        <v>121.5</v>
      </c>
      <c r="BZ28" s="5">
        <v>-692.6</v>
      </c>
      <c r="CA28" s="5">
        <v>127.4</v>
      </c>
      <c r="CB28" s="5">
        <v>-688.4</v>
      </c>
      <c r="CC28" s="5">
        <v>134.3</v>
      </c>
      <c r="CD28" s="5">
        <v>-689.4</v>
      </c>
      <c r="CE28" s="5">
        <v>138.6</v>
      </c>
      <c r="CF28" s="5">
        <v>-695</v>
      </c>
      <c r="CG28" s="5">
        <v>137.7</v>
      </c>
      <c r="CH28" s="5">
        <v>-701.9</v>
      </c>
      <c r="CI28" s="5">
        <v>132</v>
      </c>
      <c r="CJ28" s="5">
        <v>-706</v>
      </c>
      <c r="CK28" s="5">
        <v>125.2</v>
      </c>
      <c r="CL28" s="5">
        <v>-704.6</v>
      </c>
      <c r="CM28" s="5">
        <v>121.8</v>
      </c>
      <c r="CN28" s="5">
        <v>-699</v>
      </c>
      <c r="CO28" s="5">
        <v>123.3</v>
      </c>
      <c r="CP28" s="5">
        <v>-693</v>
      </c>
      <c r="CQ28" s="5">
        <v>128.5</v>
      </c>
      <c r="CR28" s="5">
        <v>-689.9</v>
      </c>
      <c r="CS28" s="5">
        <v>134.1</v>
      </c>
      <c r="CT28" s="5">
        <v>-691.2</v>
      </c>
      <c r="CU28" s="5">
        <v>137.2</v>
      </c>
      <c r="CV28" s="5">
        <v>-696.1</v>
      </c>
      <c r="CW28" s="5">
        <v>135.9</v>
      </c>
      <c r="CX28" s="5">
        <v>-701.8</v>
      </c>
      <c r="CY28" s="5">
        <v>130.9</v>
      </c>
      <c r="CZ28" s="5">
        <v>-704.7</v>
      </c>
      <c r="DA28" s="5">
        <v>125.5</v>
      </c>
      <c r="DB28" s="5">
        <v>-703</v>
      </c>
      <c r="DC28" s="5">
        <v>123.1</v>
      </c>
      <c r="DD28" s="5">
        <v>-698.1</v>
      </c>
      <c r="DE28" s="5">
        <v>124.8</v>
      </c>
      <c r="DF28" s="5">
        <v>-693.2</v>
      </c>
      <c r="DG28" s="5">
        <v>129.4</v>
      </c>
      <c r="DH28" s="5">
        <v>-691</v>
      </c>
      <c r="DI28" s="5">
        <v>134</v>
      </c>
      <c r="DJ28" s="5">
        <v>-692.6</v>
      </c>
      <c r="DK28" s="5">
        <v>12.6</v>
      </c>
    </row>
    <row r="29" spans="1:115" ht="18">
      <c r="A29" t="s">
        <v>60</v>
      </c>
      <c r="B29">
        <f>1/SQRT(εGLASS)</f>
        <v>0.4472135954999579</v>
      </c>
      <c r="C29" s="3" t="s">
        <v>93</v>
      </c>
      <c r="D29" t="s">
        <v>26</v>
      </c>
      <c r="I29" s="5"/>
      <c r="J29" s="5"/>
      <c r="K29" s="5"/>
      <c r="L29" s="5">
        <v>98.63</v>
      </c>
      <c r="M29" s="5">
        <v>161.5</v>
      </c>
      <c r="N29" s="5">
        <v>96.35</v>
      </c>
      <c r="O29" s="5">
        <v>151.9</v>
      </c>
      <c r="P29" s="5">
        <v>95.69</v>
      </c>
      <c r="Q29" s="5">
        <v>143.4</v>
      </c>
      <c r="R29" s="5">
        <v>95.91</v>
      </c>
      <c r="S29" s="5">
        <v>135.7</v>
      </c>
      <c r="T29">
        <v>96.76</v>
      </c>
      <c r="U29">
        <v>128.4</v>
      </c>
      <c r="V29" s="5">
        <v>5.2</v>
      </c>
      <c r="AA29" s="5">
        <v>133.6</v>
      </c>
      <c r="AB29" s="5">
        <v>-479.2</v>
      </c>
      <c r="AC29" s="5">
        <v>99.92</v>
      </c>
      <c r="AD29" s="5">
        <v>-504.9</v>
      </c>
      <c r="AE29" s="5">
        <v>104.1</v>
      </c>
      <c r="AF29" s="5">
        <v>-505.6</v>
      </c>
      <c r="AG29" s="5">
        <v>116.6</v>
      </c>
      <c r="AH29" s="5">
        <v>-511.2</v>
      </c>
      <c r="AI29" s="5">
        <v>125.5</v>
      </c>
      <c r="AJ29" s="5">
        <v>-524</v>
      </c>
      <c r="AK29" s="5">
        <v>124.5</v>
      </c>
      <c r="AL29" s="5">
        <v>-539.7</v>
      </c>
      <c r="AM29" s="5">
        <v>113.4</v>
      </c>
      <c r="AN29" s="5">
        <v>-549.2</v>
      </c>
      <c r="AO29" s="5">
        <v>100.9</v>
      </c>
      <c r="AP29" s="5">
        <v>-547.3</v>
      </c>
      <c r="AQ29" s="5">
        <v>95.21</v>
      </c>
      <c r="AR29" s="5">
        <v>-538.3</v>
      </c>
      <c r="AS29" s="5">
        <v>97.57</v>
      </c>
      <c r="AT29" s="5">
        <v>-529.6</v>
      </c>
      <c r="AU29" s="5">
        <v>104.7</v>
      </c>
      <c r="AV29" s="5">
        <v>-525.7</v>
      </c>
      <c r="AW29" s="5">
        <v>112.1</v>
      </c>
      <c r="AX29" s="5">
        <v>-527.9</v>
      </c>
      <c r="AY29" s="5">
        <v>115.6</v>
      </c>
      <c r="AZ29" s="5">
        <v>-534.9</v>
      </c>
      <c r="BA29" s="5">
        <v>112.6</v>
      </c>
      <c r="BB29" s="5">
        <v>-542.1</v>
      </c>
      <c r="BC29" s="5">
        <v>105.1</v>
      </c>
      <c r="BD29" s="5">
        <v>-544.5</v>
      </c>
      <c r="BE29" s="5">
        <v>99.17</v>
      </c>
      <c r="BF29" s="5">
        <v>-540</v>
      </c>
      <c r="BG29" s="5">
        <v>98.17</v>
      </c>
      <c r="BH29" s="5">
        <v>-533.5</v>
      </c>
      <c r="BI29" s="5">
        <v>101.9</v>
      </c>
      <c r="BJ29" s="5">
        <v>-528.6</v>
      </c>
      <c r="BK29" s="5">
        <v>107.9</v>
      </c>
      <c r="BL29" s="5">
        <v>-527.7</v>
      </c>
      <c r="BM29" s="5">
        <v>112.7</v>
      </c>
      <c r="BN29" s="5">
        <v>-531.3</v>
      </c>
      <c r="BO29" s="5">
        <v>113.5</v>
      </c>
      <c r="BP29" s="5">
        <v>-537.4</v>
      </c>
      <c r="BQ29" s="5">
        <v>109.5</v>
      </c>
      <c r="BR29" s="5">
        <v>-542.2</v>
      </c>
      <c r="BS29" s="5">
        <v>103.2</v>
      </c>
      <c r="BT29" s="5">
        <v>-542.3</v>
      </c>
      <c r="BU29" s="5">
        <v>99.19</v>
      </c>
      <c r="BV29" s="5">
        <v>-537.8</v>
      </c>
      <c r="BW29" s="5">
        <v>99.75</v>
      </c>
      <c r="BX29" s="5">
        <v>-532.1</v>
      </c>
      <c r="BY29" s="5">
        <v>104</v>
      </c>
      <c r="BZ29" s="5">
        <v>-528.7</v>
      </c>
      <c r="CA29" s="5">
        <v>109.3</v>
      </c>
      <c r="CB29" s="5">
        <v>-529.3</v>
      </c>
      <c r="CC29" s="5">
        <v>112.5</v>
      </c>
      <c r="CD29" s="5">
        <v>-533.5</v>
      </c>
      <c r="CE29" s="5">
        <v>111.7</v>
      </c>
      <c r="CF29" s="5">
        <v>-538.7</v>
      </c>
      <c r="CG29" s="5">
        <v>107.2</v>
      </c>
      <c r="CH29" s="5">
        <v>-541.6</v>
      </c>
      <c r="CI29" s="5">
        <v>102.2</v>
      </c>
      <c r="CJ29" s="5">
        <v>-540.2</v>
      </c>
      <c r="CK29" s="5">
        <v>100</v>
      </c>
      <c r="CL29" s="5">
        <v>-535.7</v>
      </c>
      <c r="CM29" s="5">
        <v>101.7</v>
      </c>
      <c r="CN29" s="5">
        <v>-531.3</v>
      </c>
      <c r="CO29" s="5">
        <v>105.9</v>
      </c>
      <c r="CP29" s="5">
        <v>-529.5</v>
      </c>
      <c r="CQ29" s="5">
        <v>110</v>
      </c>
      <c r="CR29" s="5">
        <v>-531.2</v>
      </c>
      <c r="CS29" s="5">
        <v>111.6</v>
      </c>
      <c r="CT29" s="5">
        <v>-535.4</v>
      </c>
      <c r="CU29" s="5">
        <v>109.7</v>
      </c>
      <c r="CV29" s="5">
        <v>-539.4</v>
      </c>
      <c r="CW29" s="5">
        <v>105.4</v>
      </c>
      <c r="CX29" s="5">
        <v>-540.6</v>
      </c>
      <c r="CY29" s="5">
        <v>101.8</v>
      </c>
      <c r="CZ29" s="5">
        <v>-538.2</v>
      </c>
      <c r="DA29" s="5">
        <v>101.1</v>
      </c>
      <c r="DB29" s="5">
        <v>-534.2</v>
      </c>
      <c r="DC29" s="5">
        <v>103.5</v>
      </c>
      <c r="DD29" s="5">
        <v>-531</v>
      </c>
      <c r="DE29" s="5">
        <v>107.3</v>
      </c>
      <c r="DF29" s="5">
        <v>-530.6</v>
      </c>
      <c r="DG29" s="5">
        <v>110.3</v>
      </c>
      <c r="DH29" s="5">
        <v>-533</v>
      </c>
      <c r="DI29" s="5">
        <v>110.5</v>
      </c>
      <c r="DJ29" s="5">
        <v>-536.8</v>
      </c>
      <c r="DK29" s="5">
        <v>13</v>
      </c>
    </row>
    <row r="30" spans="1:115" ht="18">
      <c r="A30" s="5" t="s">
        <v>49</v>
      </c>
      <c r="B30" s="1">
        <v>0</v>
      </c>
      <c r="C30" s="3" t="s">
        <v>93</v>
      </c>
      <c r="D30" s="5" t="s">
        <v>473</v>
      </c>
      <c r="F30" s="5"/>
      <c r="J30" s="5"/>
      <c r="K30" s="5"/>
      <c r="L30" s="5">
        <v>111.9</v>
      </c>
      <c r="M30" s="5">
        <v>243.2</v>
      </c>
      <c r="N30" s="5">
        <v>109.6</v>
      </c>
      <c r="O30" s="5">
        <v>228</v>
      </c>
      <c r="P30" s="5">
        <v>109</v>
      </c>
      <c r="Q30" s="5">
        <v>214</v>
      </c>
      <c r="R30" s="5">
        <v>109.4</v>
      </c>
      <c r="S30" s="5">
        <v>200.9</v>
      </c>
      <c r="T30">
        <v>110.6</v>
      </c>
      <c r="U30">
        <v>188.2</v>
      </c>
      <c r="V30" s="5">
        <v>5.4</v>
      </c>
      <c r="AA30" s="5">
        <v>125.5</v>
      </c>
      <c r="AB30" s="5">
        <v>-343.4</v>
      </c>
      <c r="AC30" s="5">
        <v>92.31</v>
      </c>
      <c r="AD30" s="5">
        <v>-363.8</v>
      </c>
      <c r="AE30" s="5">
        <v>94.91</v>
      </c>
      <c r="AF30" s="5">
        <v>-364.5</v>
      </c>
      <c r="AG30" s="5">
        <v>104.7</v>
      </c>
      <c r="AH30" s="5">
        <v>-370</v>
      </c>
      <c r="AI30" s="5">
        <v>110.8</v>
      </c>
      <c r="AJ30" s="5">
        <v>-381.5</v>
      </c>
      <c r="AK30" s="5">
        <v>108.3</v>
      </c>
      <c r="AL30" s="5">
        <v>-393.9</v>
      </c>
      <c r="AM30" s="5">
        <v>98.77</v>
      </c>
      <c r="AN30" s="5">
        <v>-400</v>
      </c>
      <c r="AO30" s="5">
        <v>89.77</v>
      </c>
      <c r="AP30" s="5">
        <v>-397.4</v>
      </c>
      <c r="AQ30" s="5">
        <v>86.63</v>
      </c>
      <c r="AR30" s="5">
        <v>-390.5</v>
      </c>
      <c r="AS30" s="5">
        <v>89.22</v>
      </c>
      <c r="AT30" s="5">
        <v>-384.7</v>
      </c>
      <c r="AU30" s="5">
        <v>94.63</v>
      </c>
      <c r="AV30" s="5">
        <v>-383</v>
      </c>
      <c r="AW30" s="5">
        <v>99.27</v>
      </c>
      <c r="AX30" s="5">
        <v>-385.8</v>
      </c>
      <c r="AY30" s="5">
        <v>99.97</v>
      </c>
      <c r="AZ30" s="5">
        <v>-391.2</v>
      </c>
      <c r="BA30" s="5">
        <v>96.08</v>
      </c>
      <c r="BB30" s="5">
        <v>-395.1</v>
      </c>
      <c r="BC30" s="5">
        <v>91.06</v>
      </c>
      <c r="BD30" s="5">
        <v>-393.7</v>
      </c>
      <c r="BE30" s="5">
        <v>88.83</v>
      </c>
      <c r="BF30" s="5">
        <v>-389.7</v>
      </c>
      <c r="BG30" s="5">
        <v>90.28</v>
      </c>
      <c r="BH30" s="5">
        <v>-385.7</v>
      </c>
      <c r="BI30" s="5">
        <v>94.06</v>
      </c>
      <c r="BJ30" s="5">
        <v>-384</v>
      </c>
      <c r="BK30" s="5">
        <v>97.89</v>
      </c>
      <c r="BL30" s="5">
        <v>-385.6</v>
      </c>
      <c r="BM30" s="5">
        <v>99.4</v>
      </c>
      <c r="BN30" s="5">
        <v>-389.6</v>
      </c>
      <c r="BO30" s="5">
        <v>97.32</v>
      </c>
      <c r="BP30" s="5">
        <v>-393.5</v>
      </c>
      <c r="BQ30" s="5">
        <v>92.9</v>
      </c>
      <c r="BR30" s="5">
        <v>-394.4</v>
      </c>
      <c r="BS30" s="5">
        <v>89.46</v>
      </c>
      <c r="BT30" s="5">
        <v>-391.6</v>
      </c>
      <c r="BU30" s="5">
        <v>89.34</v>
      </c>
      <c r="BV30" s="5">
        <v>-387.4</v>
      </c>
      <c r="BW30" s="5">
        <v>92.24</v>
      </c>
      <c r="BX30" s="5">
        <v>-384.6</v>
      </c>
      <c r="BY30" s="5">
        <v>96.17</v>
      </c>
      <c r="BZ30" s="5">
        <v>-384.8</v>
      </c>
      <c r="CA30" s="5">
        <v>98.73</v>
      </c>
      <c r="CB30" s="5">
        <v>-387.7</v>
      </c>
      <c r="CC30" s="5">
        <v>98.24</v>
      </c>
      <c r="CD30" s="5">
        <v>-391.7</v>
      </c>
      <c r="CE30" s="5">
        <v>94.89</v>
      </c>
      <c r="CF30" s="5">
        <v>-393.9</v>
      </c>
      <c r="CG30" s="5">
        <v>91.11</v>
      </c>
      <c r="CH30" s="5">
        <v>-392.7</v>
      </c>
      <c r="CI30" s="5">
        <v>89.59</v>
      </c>
      <c r="CJ30" s="5">
        <v>-389.3</v>
      </c>
      <c r="CK30" s="5">
        <v>91.11</v>
      </c>
      <c r="CL30" s="5">
        <v>-386</v>
      </c>
      <c r="CM30" s="5">
        <v>94.44</v>
      </c>
      <c r="CN30" s="5">
        <v>-384.9</v>
      </c>
      <c r="CO30" s="5">
        <v>97.42</v>
      </c>
      <c r="CP30" s="5">
        <v>-386.6</v>
      </c>
      <c r="CQ30" s="5">
        <v>98.19</v>
      </c>
      <c r="CR30" s="5">
        <v>-389.9</v>
      </c>
      <c r="CS30" s="5">
        <v>96.18</v>
      </c>
      <c r="CT30" s="5">
        <v>-392.7</v>
      </c>
      <c r="CU30" s="5">
        <v>92.79</v>
      </c>
      <c r="CV30" s="5">
        <v>-393</v>
      </c>
      <c r="CW30" s="5">
        <v>90.47</v>
      </c>
      <c r="CX30" s="5">
        <v>-390.6</v>
      </c>
      <c r="CY30" s="5">
        <v>90.72</v>
      </c>
      <c r="CZ30" s="5">
        <v>-387.5</v>
      </c>
      <c r="DA30" s="5">
        <v>93.13</v>
      </c>
      <c r="DB30" s="5">
        <v>-385.6</v>
      </c>
      <c r="DC30" s="5">
        <v>96.05</v>
      </c>
      <c r="DD30" s="5">
        <v>-386.1</v>
      </c>
      <c r="DE30" s="5">
        <v>97.63</v>
      </c>
      <c r="DF30" s="5">
        <v>-388.6</v>
      </c>
      <c r="DG30" s="5">
        <v>96.82</v>
      </c>
      <c r="DH30" s="5">
        <v>-391.5</v>
      </c>
      <c r="DI30" s="5">
        <v>94.16</v>
      </c>
      <c r="DJ30" s="5">
        <v>-392.7</v>
      </c>
      <c r="DK30" s="5">
        <v>13.4</v>
      </c>
    </row>
    <row r="31" spans="1:115" ht="18">
      <c r="A31" s="5" t="s">
        <v>44</v>
      </c>
      <c r="B31" s="1">
        <v>0.00064</v>
      </c>
      <c r="C31" s="3" t="s">
        <v>93</v>
      </c>
      <c r="D31" t="s">
        <v>35</v>
      </c>
      <c r="K31" s="5"/>
      <c r="L31" s="5">
        <v>127.1</v>
      </c>
      <c r="M31" s="5">
        <v>326.9</v>
      </c>
      <c r="N31" s="5">
        <v>124.8</v>
      </c>
      <c r="O31" s="5">
        <v>306.1</v>
      </c>
      <c r="P31" s="5">
        <v>124.3</v>
      </c>
      <c r="Q31" s="5">
        <v>286.6</v>
      </c>
      <c r="R31" s="5">
        <v>125.1</v>
      </c>
      <c r="S31" s="5">
        <v>267.9</v>
      </c>
      <c r="T31">
        <v>126.7</v>
      </c>
      <c r="U31">
        <v>249.7</v>
      </c>
      <c r="V31" s="5">
        <v>5.6</v>
      </c>
      <c r="AA31" s="5">
        <v>123.4</v>
      </c>
      <c r="AB31" s="5">
        <v>-217.6</v>
      </c>
      <c r="AC31" s="5">
        <v>90.88</v>
      </c>
      <c r="AD31" s="5">
        <v>-232</v>
      </c>
      <c r="AE31" s="5">
        <v>93.18</v>
      </c>
      <c r="AF31" s="5">
        <v>-231.7</v>
      </c>
      <c r="AG31" s="5">
        <v>101.8</v>
      </c>
      <c r="AH31" s="5">
        <v>-237</v>
      </c>
      <c r="AI31" s="5">
        <v>106.4</v>
      </c>
      <c r="AJ31" s="5">
        <v>-247.6</v>
      </c>
      <c r="AK31" s="5">
        <v>103.3</v>
      </c>
      <c r="AL31" s="5">
        <v>-258.1</v>
      </c>
      <c r="AM31" s="5">
        <v>95.02</v>
      </c>
      <c r="AN31" s="5">
        <v>-262.6</v>
      </c>
      <c r="AO31" s="5">
        <v>88.01</v>
      </c>
      <c r="AP31" s="5">
        <v>-260.1</v>
      </c>
      <c r="AQ31" s="5">
        <v>85.81</v>
      </c>
      <c r="AR31" s="5">
        <v>-254.7</v>
      </c>
      <c r="AS31" s="5">
        <v>87.92</v>
      </c>
      <c r="AT31" s="5">
        <v>-250.6</v>
      </c>
      <c r="AU31" s="5">
        <v>91.9</v>
      </c>
      <c r="AV31" s="5">
        <v>-249.7</v>
      </c>
      <c r="AW31" s="5">
        <v>94.7</v>
      </c>
      <c r="AX31" s="5">
        <v>-252.2</v>
      </c>
      <c r="AY31" s="5">
        <v>94.19</v>
      </c>
      <c r="AZ31" s="5">
        <v>-255.8</v>
      </c>
      <c r="BA31" s="5">
        <v>90.94</v>
      </c>
      <c r="BB31" s="5">
        <v>-257.3</v>
      </c>
      <c r="BC31" s="5">
        <v>88.56</v>
      </c>
      <c r="BD31" s="5">
        <v>-255</v>
      </c>
      <c r="BE31" s="5">
        <v>88.41</v>
      </c>
      <c r="BF31" s="5">
        <v>-252.4</v>
      </c>
      <c r="BG31" s="5">
        <v>90.28</v>
      </c>
      <c r="BH31" s="5">
        <v>-250.6</v>
      </c>
      <c r="BI31" s="5">
        <v>92.86</v>
      </c>
      <c r="BJ31" s="5">
        <v>-250.9</v>
      </c>
      <c r="BK31" s="5">
        <v>94.5</v>
      </c>
      <c r="BL31" s="5">
        <v>-253</v>
      </c>
      <c r="BM31" s="5">
        <v>93.84</v>
      </c>
      <c r="BN31" s="5">
        <v>-255.9</v>
      </c>
      <c r="BO31" s="5">
        <v>91.08</v>
      </c>
      <c r="BP31" s="5">
        <v>-257.2</v>
      </c>
      <c r="BQ31" s="5">
        <v>88.34</v>
      </c>
      <c r="BR31" s="5">
        <v>-255.8</v>
      </c>
      <c r="BS31" s="5">
        <v>87.75</v>
      </c>
      <c r="BT31" s="5">
        <v>-252.8</v>
      </c>
      <c r="BU31" s="5">
        <v>89.53</v>
      </c>
      <c r="BV31" s="5">
        <v>-250.5</v>
      </c>
      <c r="BW31" s="5">
        <v>92.35</v>
      </c>
      <c r="BX31" s="5">
        <v>-250.3</v>
      </c>
      <c r="BY31" s="5">
        <v>94.4</v>
      </c>
      <c r="BZ31" s="5">
        <v>-252.3</v>
      </c>
      <c r="CA31" s="5">
        <v>94.24</v>
      </c>
      <c r="CB31" s="5">
        <v>-255.2</v>
      </c>
      <c r="CC31" s="5">
        <v>91.85</v>
      </c>
      <c r="CD31" s="5">
        <v>-257</v>
      </c>
      <c r="CE31" s="5">
        <v>89.01</v>
      </c>
      <c r="CF31" s="5">
        <v>-256.2</v>
      </c>
      <c r="CG31" s="5">
        <v>87.87</v>
      </c>
      <c r="CH31" s="5">
        <v>-253.6</v>
      </c>
      <c r="CI31" s="5">
        <v>89.1</v>
      </c>
      <c r="CJ31" s="5">
        <v>-251.1</v>
      </c>
      <c r="CK31" s="5">
        <v>91.65</v>
      </c>
      <c r="CL31" s="5">
        <v>-250.5</v>
      </c>
      <c r="CM31" s="5">
        <v>93.81</v>
      </c>
      <c r="CN31" s="5">
        <v>-251.9</v>
      </c>
      <c r="CO31" s="5">
        <v>94.14</v>
      </c>
      <c r="CP31" s="5">
        <v>-254.5</v>
      </c>
      <c r="CQ31" s="5">
        <v>92.35</v>
      </c>
      <c r="CR31" s="5">
        <v>-256.4</v>
      </c>
      <c r="CS31" s="5">
        <v>89.75</v>
      </c>
      <c r="CT31" s="5">
        <v>-256.2</v>
      </c>
      <c r="CU31" s="5">
        <v>88.32</v>
      </c>
      <c r="CV31" s="5">
        <v>-254.1</v>
      </c>
      <c r="CW31" s="5">
        <v>88.98</v>
      </c>
      <c r="CX31" s="5">
        <v>-251.8</v>
      </c>
      <c r="CY31" s="5">
        <v>91.1</v>
      </c>
      <c r="CZ31" s="5">
        <v>-250.8</v>
      </c>
      <c r="DA31" s="5">
        <v>93.19</v>
      </c>
      <c r="DB31" s="5">
        <v>-251.7</v>
      </c>
      <c r="DC31" s="5">
        <v>93.86</v>
      </c>
      <c r="DD31" s="5">
        <v>-253.9</v>
      </c>
      <c r="DE31" s="5">
        <v>92.61</v>
      </c>
      <c r="DF31" s="5">
        <v>-255.8</v>
      </c>
      <c r="DG31" s="5">
        <v>90.35</v>
      </c>
      <c r="DH31" s="5">
        <v>-256.1</v>
      </c>
      <c r="DI31" s="5">
        <v>88.8</v>
      </c>
      <c r="DJ31" s="5">
        <v>-254.5</v>
      </c>
      <c r="DK31" s="5">
        <v>13.8</v>
      </c>
    </row>
    <row r="32" spans="1:115" ht="18">
      <c r="A32" t="s">
        <v>45</v>
      </c>
      <c r="B32" s="1">
        <v>0.0002</v>
      </c>
      <c r="C32" s="3" t="s">
        <v>93</v>
      </c>
      <c r="D32" t="s">
        <v>36</v>
      </c>
      <c r="K32" s="5"/>
      <c r="L32" s="5">
        <v>144.8</v>
      </c>
      <c r="M32" s="5">
        <v>413.6</v>
      </c>
      <c r="N32" s="5">
        <v>142.4</v>
      </c>
      <c r="O32" s="5">
        <v>386.9</v>
      </c>
      <c r="P32" s="5">
        <v>142.2</v>
      </c>
      <c r="Q32" s="5">
        <v>361.7</v>
      </c>
      <c r="R32" s="5">
        <v>143.3</v>
      </c>
      <c r="S32" s="5">
        <v>337.3</v>
      </c>
      <c r="T32">
        <v>145.4</v>
      </c>
      <c r="U32">
        <v>313.4</v>
      </c>
      <c r="V32" s="5">
        <v>5.8</v>
      </c>
      <c r="AA32" s="5">
        <v>126.6</v>
      </c>
      <c r="AB32" s="5">
        <v>-97.18</v>
      </c>
      <c r="AC32" s="5">
        <v>95.07</v>
      </c>
      <c r="AD32" s="5">
        <v>-104.8</v>
      </c>
      <c r="AE32" s="5">
        <v>98.46</v>
      </c>
      <c r="AF32" s="5">
        <v>-103</v>
      </c>
      <c r="AG32" s="5">
        <v>107.3</v>
      </c>
      <c r="AH32" s="5">
        <v>-108.4</v>
      </c>
      <c r="AI32" s="5">
        <v>111.2</v>
      </c>
      <c r="AJ32" s="5">
        <v>-119</v>
      </c>
      <c r="AK32" s="5">
        <v>107.6</v>
      </c>
      <c r="AL32" s="5">
        <v>-128.8</v>
      </c>
      <c r="AM32" s="5">
        <v>99.89</v>
      </c>
      <c r="AN32" s="5">
        <v>-132.6</v>
      </c>
      <c r="AO32" s="5">
        <v>93.54</v>
      </c>
      <c r="AP32" s="5">
        <v>-130.4</v>
      </c>
      <c r="AQ32" s="5">
        <v>91.35</v>
      </c>
      <c r="AR32" s="5">
        <v>-125.8</v>
      </c>
      <c r="AS32" s="5">
        <v>92.92</v>
      </c>
      <c r="AT32" s="5">
        <v>-122.1</v>
      </c>
      <c r="AU32" s="5">
        <v>96.07</v>
      </c>
      <c r="AV32" s="5">
        <v>-121.2</v>
      </c>
      <c r="AW32" s="5">
        <v>98.1</v>
      </c>
      <c r="AX32" s="5">
        <v>-123.1</v>
      </c>
      <c r="AY32" s="5">
        <v>97.55</v>
      </c>
      <c r="AZ32" s="5">
        <v>-125.4</v>
      </c>
      <c r="BA32" s="5">
        <v>95.76</v>
      </c>
      <c r="BB32" s="5">
        <v>-125</v>
      </c>
      <c r="BC32" s="5">
        <v>94.94</v>
      </c>
      <c r="BD32" s="5">
        <v>-124.1</v>
      </c>
      <c r="BE32" s="5">
        <v>95.27</v>
      </c>
      <c r="BF32" s="5">
        <v>-123</v>
      </c>
      <c r="BG32" s="5">
        <v>96.44</v>
      </c>
      <c r="BH32" s="5">
        <v>-122.6</v>
      </c>
      <c r="BI32" s="5">
        <v>97.61</v>
      </c>
      <c r="BJ32" s="5">
        <v>-123.3</v>
      </c>
      <c r="BK32" s="5">
        <v>97.77</v>
      </c>
      <c r="BL32" s="5">
        <v>-124.9</v>
      </c>
      <c r="BM32" s="5">
        <v>96.45</v>
      </c>
      <c r="BN32" s="5">
        <v>-126.1</v>
      </c>
      <c r="BO32" s="5">
        <v>94.61</v>
      </c>
      <c r="BP32" s="5">
        <v>-125.7</v>
      </c>
      <c r="BQ32" s="5">
        <v>93.85</v>
      </c>
      <c r="BR32" s="5">
        <v>-123.9</v>
      </c>
      <c r="BS32" s="5">
        <v>94.74</v>
      </c>
      <c r="BT32" s="5">
        <v>-122.2</v>
      </c>
      <c r="BU32" s="5">
        <v>96.58</v>
      </c>
      <c r="BV32" s="5">
        <v>-121.8</v>
      </c>
      <c r="BW32" s="5">
        <v>98.12</v>
      </c>
      <c r="BX32" s="5">
        <v>-123</v>
      </c>
      <c r="BY32" s="5">
        <v>98.23</v>
      </c>
      <c r="BZ32" s="5">
        <v>-125</v>
      </c>
      <c r="CA32" s="5">
        <v>96.66</v>
      </c>
      <c r="CB32" s="5">
        <v>-126.4</v>
      </c>
      <c r="CC32" s="5">
        <v>94.6</v>
      </c>
      <c r="CD32" s="5">
        <v>-125.9</v>
      </c>
      <c r="CE32" s="5">
        <v>93.71</v>
      </c>
      <c r="CF32" s="5">
        <v>-124.1</v>
      </c>
      <c r="CG32" s="5">
        <v>94.59</v>
      </c>
      <c r="CH32" s="5">
        <v>-122.3</v>
      </c>
      <c r="CI32" s="5">
        <v>96.48</v>
      </c>
      <c r="CJ32" s="5">
        <v>-121.8</v>
      </c>
      <c r="CK32" s="5">
        <v>98.03</v>
      </c>
      <c r="CL32" s="5">
        <v>-122.9</v>
      </c>
      <c r="CM32" s="5">
        <v>98.15</v>
      </c>
      <c r="CN32" s="5">
        <v>-124.9</v>
      </c>
      <c r="CO32" s="5">
        <v>96.69</v>
      </c>
      <c r="CP32" s="5">
        <v>-126.2</v>
      </c>
      <c r="CQ32" s="5">
        <v>94.76</v>
      </c>
      <c r="CR32" s="5">
        <v>-125.8</v>
      </c>
      <c r="CS32" s="5">
        <v>93.91</v>
      </c>
      <c r="CT32" s="5">
        <v>-124.1</v>
      </c>
      <c r="CU32" s="5">
        <v>94.69</v>
      </c>
      <c r="CV32" s="5">
        <v>-122.5</v>
      </c>
      <c r="CW32" s="5">
        <v>96.4</v>
      </c>
      <c r="CX32" s="5">
        <v>-122</v>
      </c>
      <c r="CY32" s="5">
        <v>97.82</v>
      </c>
      <c r="CZ32" s="5">
        <v>-123</v>
      </c>
      <c r="DA32" s="5">
        <v>97.93</v>
      </c>
      <c r="DB32" s="5">
        <v>-124.8</v>
      </c>
      <c r="DC32" s="5">
        <v>96.63</v>
      </c>
      <c r="DD32" s="5">
        <v>-125.9</v>
      </c>
      <c r="DE32" s="5">
        <v>94.92</v>
      </c>
      <c r="DF32" s="5">
        <v>-125.6</v>
      </c>
      <c r="DG32" s="5">
        <v>94.16</v>
      </c>
      <c r="DH32" s="5">
        <v>-124.1</v>
      </c>
      <c r="DI32" s="5">
        <v>94.84</v>
      </c>
      <c r="DJ32" s="5">
        <v>-122.6</v>
      </c>
      <c r="DK32" s="5">
        <v>14.2</v>
      </c>
    </row>
    <row r="33" spans="1:115" ht="18">
      <c r="A33" t="s">
        <v>46</v>
      </c>
      <c r="B33" s="1">
        <v>0.011</v>
      </c>
      <c r="C33" s="3" t="s">
        <v>93</v>
      </c>
      <c r="D33" t="s">
        <v>37</v>
      </c>
      <c r="K33" s="5"/>
      <c r="L33" s="5">
        <v>165.4</v>
      </c>
      <c r="M33" s="5">
        <v>504.1</v>
      </c>
      <c r="N33" s="5">
        <v>163</v>
      </c>
      <c r="O33" s="5">
        <v>471.3</v>
      </c>
      <c r="P33" s="5">
        <v>163</v>
      </c>
      <c r="Q33" s="5">
        <v>440.2</v>
      </c>
      <c r="R33" s="5">
        <v>164.6</v>
      </c>
      <c r="S33" s="5">
        <v>409.8</v>
      </c>
      <c r="T33">
        <v>167.5</v>
      </c>
      <c r="U33">
        <v>380</v>
      </c>
      <c r="V33" s="5">
        <v>6</v>
      </c>
      <c r="AA33" s="5">
        <v>135</v>
      </c>
      <c r="AB33" s="5">
        <v>21.67</v>
      </c>
      <c r="AC33" s="5">
        <v>105.1</v>
      </c>
      <c r="AD33" s="5">
        <v>21.89</v>
      </c>
      <c r="AE33" s="5">
        <v>111.2</v>
      </c>
      <c r="AF33" s="5">
        <v>25.46</v>
      </c>
      <c r="AG33" s="5">
        <v>121.3</v>
      </c>
      <c r="AH33" s="5">
        <v>19.17</v>
      </c>
      <c r="AI33" s="5">
        <v>125</v>
      </c>
      <c r="AJ33" s="5">
        <v>7.438</v>
      </c>
      <c r="AK33" s="5">
        <v>120.6</v>
      </c>
      <c r="AL33" s="5">
        <v>-2.641</v>
      </c>
      <c r="AM33" s="5">
        <v>112.4</v>
      </c>
      <c r="AN33" s="5">
        <v>-6.335</v>
      </c>
      <c r="AO33" s="5">
        <v>105.6</v>
      </c>
      <c r="AP33" s="5">
        <v>-3.981</v>
      </c>
      <c r="AQ33" s="5">
        <v>103.1</v>
      </c>
      <c r="AR33" s="5">
        <v>0.9943</v>
      </c>
      <c r="AS33" s="5">
        <v>104.6</v>
      </c>
      <c r="AT33" s="5">
        <v>5.119</v>
      </c>
      <c r="AU33" s="5">
        <v>107.8</v>
      </c>
      <c r="AV33" s="5">
        <v>6.324</v>
      </c>
      <c r="AW33" s="5">
        <v>109.9</v>
      </c>
      <c r="AX33" s="5">
        <v>4.93</v>
      </c>
      <c r="AY33" s="5">
        <v>109.9</v>
      </c>
      <c r="AZ33" s="5">
        <v>3.036</v>
      </c>
      <c r="BA33" s="5">
        <v>109.3</v>
      </c>
      <c r="BB33" s="5">
        <v>3.095</v>
      </c>
      <c r="BC33" s="5">
        <v>108.8</v>
      </c>
      <c r="BD33" s="5">
        <v>2.923</v>
      </c>
      <c r="BE33" s="5">
        <v>108.5</v>
      </c>
      <c r="BF33" s="5">
        <v>3.174</v>
      </c>
      <c r="BG33" s="5">
        <v>108.7</v>
      </c>
      <c r="BH33" s="5">
        <v>3.373</v>
      </c>
      <c r="BI33" s="5">
        <v>109</v>
      </c>
      <c r="BJ33" s="5">
        <v>3.113</v>
      </c>
      <c r="BK33" s="5">
        <v>108.7</v>
      </c>
      <c r="BL33" s="5">
        <v>2.582</v>
      </c>
      <c r="BM33" s="5">
        <v>108</v>
      </c>
      <c r="BN33" s="5">
        <v>2.52</v>
      </c>
      <c r="BO33" s="5">
        <v>107.5</v>
      </c>
      <c r="BP33" s="5">
        <v>3.244</v>
      </c>
      <c r="BQ33" s="5">
        <v>107.8</v>
      </c>
      <c r="BR33" s="5">
        <v>4.151</v>
      </c>
      <c r="BS33" s="5">
        <v>108.7</v>
      </c>
      <c r="BT33" s="5">
        <v>4.511</v>
      </c>
      <c r="BU33" s="5">
        <v>109.7</v>
      </c>
      <c r="BV33" s="5">
        <v>3.977</v>
      </c>
      <c r="BW33" s="5">
        <v>109.9</v>
      </c>
      <c r="BX33" s="5">
        <v>2.801</v>
      </c>
      <c r="BY33" s="5">
        <v>109</v>
      </c>
      <c r="BZ33" s="5">
        <v>1.852</v>
      </c>
      <c r="CA33" s="5">
        <v>107.6</v>
      </c>
      <c r="CB33" s="5">
        <v>2.017</v>
      </c>
      <c r="CC33" s="5">
        <v>107</v>
      </c>
      <c r="CD33" s="5">
        <v>3.228</v>
      </c>
      <c r="CE33" s="5">
        <v>107.5</v>
      </c>
      <c r="CF33" s="5">
        <v>4.465</v>
      </c>
      <c r="CG33" s="5">
        <v>108.8</v>
      </c>
      <c r="CH33" s="5">
        <v>4.785</v>
      </c>
      <c r="CI33" s="5">
        <v>109.9</v>
      </c>
      <c r="CJ33" s="5">
        <v>3.975</v>
      </c>
      <c r="CK33" s="5">
        <v>109.9</v>
      </c>
      <c r="CL33" s="5">
        <v>2.605</v>
      </c>
      <c r="CM33" s="5">
        <v>108.8</v>
      </c>
      <c r="CN33" s="5">
        <v>1.729</v>
      </c>
      <c r="CO33" s="5">
        <v>107.5</v>
      </c>
      <c r="CP33" s="5">
        <v>2.114</v>
      </c>
      <c r="CQ33" s="5">
        <v>107</v>
      </c>
      <c r="CR33" s="5">
        <v>3.417</v>
      </c>
      <c r="CS33" s="5">
        <v>107.7</v>
      </c>
      <c r="CT33" s="5">
        <v>4.548</v>
      </c>
      <c r="CU33" s="5">
        <v>109</v>
      </c>
      <c r="CV33" s="5">
        <v>4.673</v>
      </c>
      <c r="CW33" s="5">
        <v>109.9</v>
      </c>
      <c r="CX33" s="5">
        <v>3.75</v>
      </c>
      <c r="CY33" s="5">
        <v>109.7</v>
      </c>
      <c r="CZ33" s="5">
        <v>2.457</v>
      </c>
      <c r="DA33" s="5">
        <v>108.6</v>
      </c>
      <c r="DB33" s="5">
        <v>1.823</v>
      </c>
      <c r="DC33" s="5">
        <v>107.4</v>
      </c>
      <c r="DD33" s="5">
        <v>2.375</v>
      </c>
      <c r="DE33" s="5">
        <v>107.2</v>
      </c>
      <c r="DF33" s="5">
        <v>3.617</v>
      </c>
      <c r="DG33" s="5">
        <v>108</v>
      </c>
      <c r="DH33" s="5">
        <v>4.539</v>
      </c>
      <c r="DI33" s="5">
        <v>109.2</v>
      </c>
      <c r="DJ33" s="5">
        <v>4.46</v>
      </c>
      <c r="DK33" s="5">
        <v>14.6</v>
      </c>
    </row>
    <row r="34" spans="1:115" ht="18">
      <c r="A34" t="s">
        <v>47</v>
      </c>
      <c r="B34" s="1">
        <v>6E-05</v>
      </c>
      <c r="C34" s="3" t="s">
        <v>93</v>
      </c>
      <c r="D34" t="s">
        <v>38</v>
      </c>
      <c r="K34" s="5"/>
      <c r="L34" s="5">
        <v>189.6</v>
      </c>
      <c r="M34" s="5">
        <v>599.4</v>
      </c>
      <c r="N34" s="5">
        <v>187.2</v>
      </c>
      <c r="O34" s="5">
        <v>560.2</v>
      </c>
      <c r="P34" s="5">
        <v>187.6</v>
      </c>
      <c r="Q34" s="5">
        <v>522.8</v>
      </c>
      <c r="R34" s="5">
        <v>189.8</v>
      </c>
      <c r="S34" s="5">
        <v>486.2</v>
      </c>
      <c r="T34">
        <v>193.6</v>
      </c>
      <c r="U34">
        <v>450.2</v>
      </c>
      <c r="V34" s="5">
        <v>6.2</v>
      </c>
      <c r="AA34" s="5">
        <v>149.2</v>
      </c>
      <c r="AB34" s="5">
        <v>142.6</v>
      </c>
      <c r="AC34" s="5">
        <v>122.1</v>
      </c>
      <c r="AD34" s="5">
        <v>151.9</v>
      </c>
      <c r="AE34" s="5">
        <v>132.7</v>
      </c>
      <c r="AF34" s="5">
        <v>157.1</v>
      </c>
      <c r="AG34" s="5">
        <v>145.2</v>
      </c>
      <c r="AH34" s="5">
        <v>148.7</v>
      </c>
      <c r="AI34" s="5">
        <v>148.5</v>
      </c>
      <c r="AJ34" s="5">
        <v>134.5</v>
      </c>
      <c r="AK34" s="5">
        <v>142.5</v>
      </c>
      <c r="AL34" s="5">
        <v>123.3</v>
      </c>
      <c r="AM34" s="5">
        <v>132.5</v>
      </c>
      <c r="AN34" s="5">
        <v>119.9</v>
      </c>
      <c r="AO34" s="5">
        <v>124.7</v>
      </c>
      <c r="AP34" s="5">
        <v>123.3</v>
      </c>
      <c r="AQ34" s="5">
        <v>122.1</v>
      </c>
      <c r="AR34" s="5">
        <v>129.7</v>
      </c>
      <c r="AS34" s="5">
        <v>124.3</v>
      </c>
      <c r="AT34" s="5">
        <v>134.7</v>
      </c>
      <c r="AU34" s="5">
        <v>128.4</v>
      </c>
      <c r="AV34" s="5">
        <v>136.1</v>
      </c>
      <c r="AW34" s="5">
        <v>131.3</v>
      </c>
      <c r="AX34" s="5">
        <v>134.4</v>
      </c>
      <c r="AY34" s="5">
        <v>131.7</v>
      </c>
      <c r="AZ34" s="5">
        <v>132</v>
      </c>
      <c r="BA34" s="5">
        <v>131.4</v>
      </c>
      <c r="BB34" s="5">
        <v>131</v>
      </c>
      <c r="BC34" s="5">
        <v>130</v>
      </c>
      <c r="BD34" s="5">
        <v>130.2</v>
      </c>
      <c r="BE34" s="5">
        <v>128.7</v>
      </c>
      <c r="BF34" s="5">
        <v>130.6</v>
      </c>
      <c r="BG34" s="5">
        <v>128.4</v>
      </c>
      <c r="BH34" s="5">
        <v>131.5</v>
      </c>
      <c r="BI34" s="5">
        <v>128.7</v>
      </c>
      <c r="BJ34" s="5">
        <v>132.1</v>
      </c>
      <c r="BK34" s="5">
        <v>129</v>
      </c>
      <c r="BL34" s="5">
        <v>132.1</v>
      </c>
      <c r="BM34" s="5">
        <v>129.2</v>
      </c>
      <c r="BN34" s="5">
        <v>132.1</v>
      </c>
      <c r="BO34" s="5">
        <v>129.3</v>
      </c>
      <c r="BP34" s="5">
        <v>132.1</v>
      </c>
      <c r="BQ34" s="5">
        <v>129.5</v>
      </c>
      <c r="BR34" s="5">
        <v>132.1</v>
      </c>
      <c r="BS34" s="5">
        <v>129.7</v>
      </c>
      <c r="BT34" s="5">
        <v>132</v>
      </c>
      <c r="BU34" s="5">
        <v>129.8</v>
      </c>
      <c r="BV34" s="5">
        <v>131.5</v>
      </c>
      <c r="BW34" s="5">
        <v>129.5</v>
      </c>
      <c r="BX34" s="5">
        <v>131.1</v>
      </c>
      <c r="BY34" s="5">
        <v>128.8</v>
      </c>
      <c r="BZ34" s="5">
        <v>131.2</v>
      </c>
      <c r="CA34" s="5">
        <v>128.4</v>
      </c>
      <c r="CB34" s="5">
        <v>131.8</v>
      </c>
      <c r="CC34" s="5">
        <v>128.8</v>
      </c>
      <c r="CD34" s="5">
        <v>132.5</v>
      </c>
      <c r="CE34" s="5">
        <v>129.5</v>
      </c>
      <c r="CF34" s="5">
        <v>132.7</v>
      </c>
      <c r="CG34" s="5">
        <v>130.2</v>
      </c>
      <c r="CH34" s="5">
        <v>132.2</v>
      </c>
      <c r="CI34" s="5">
        <v>130.1</v>
      </c>
      <c r="CJ34" s="5">
        <v>131.3</v>
      </c>
      <c r="CK34" s="5">
        <v>129.4</v>
      </c>
      <c r="CL34" s="5">
        <v>130.8</v>
      </c>
      <c r="CM34" s="5">
        <v>128.5</v>
      </c>
      <c r="CN34" s="5">
        <v>131.1</v>
      </c>
      <c r="CO34" s="5">
        <v>128.3</v>
      </c>
      <c r="CP34" s="5">
        <v>132</v>
      </c>
      <c r="CQ34" s="5">
        <v>128.9</v>
      </c>
      <c r="CR34" s="5">
        <v>132.7</v>
      </c>
      <c r="CS34" s="5">
        <v>129.8</v>
      </c>
      <c r="CT34" s="5">
        <v>132.7</v>
      </c>
      <c r="CU34" s="5">
        <v>130.3</v>
      </c>
      <c r="CV34" s="5">
        <v>131.9</v>
      </c>
      <c r="CW34" s="5">
        <v>130</v>
      </c>
      <c r="CX34" s="5">
        <v>131.1</v>
      </c>
      <c r="CY34" s="5">
        <v>129.1</v>
      </c>
      <c r="CZ34" s="5">
        <v>130.8</v>
      </c>
      <c r="DA34" s="5">
        <v>128.4</v>
      </c>
      <c r="DB34" s="5">
        <v>131.4</v>
      </c>
      <c r="DC34" s="5">
        <v>128.4</v>
      </c>
      <c r="DD34" s="5">
        <v>132.3</v>
      </c>
      <c r="DE34" s="5">
        <v>129.2</v>
      </c>
      <c r="DF34" s="5">
        <v>132.8</v>
      </c>
      <c r="DG34" s="5">
        <v>130</v>
      </c>
      <c r="DH34" s="5">
        <v>132.4</v>
      </c>
      <c r="DI34" s="5">
        <v>130.2</v>
      </c>
      <c r="DJ34" s="5">
        <v>131.6</v>
      </c>
      <c r="DK34" s="5">
        <v>15</v>
      </c>
    </row>
    <row r="35" spans="1:115" ht="18">
      <c r="A35" t="s">
        <v>48</v>
      </c>
      <c r="B35" s="1">
        <v>0.0054</v>
      </c>
      <c r="C35" s="3" t="s">
        <v>93</v>
      </c>
      <c r="D35" t="s">
        <v>39</v>
      </c>
      <c r="K35" s="5"/>
      <c r="L35" s="5">
        <v>218.4</v>
      </c>
      <c r="M35" s="5">
        <v>700.7</v>
      </c>
      <c r="N35" s="5">
        <v>216</v>
      </c>
      <c r="O35" s="5">
        <v>654.7</v>
      </c>
      <c r="P35" s="5">
        <v>216.9</v>
      </c>
      <c r="Q35" s="5">
        <v>610.6</v>
      </c>
      <c r="R35" s="5">
        <v>219.9</v>
      </c>
      <c r="S35" s="5">
        <v>567.4</v>
      </c>
      <c r="T35">
        <v>224.8</v>
      </c>
      <c r="U35">
        <v>524.6</v>
      </c>
      <c r="V35" s="5">
        <v>6.4</v>
      </c>
      <c r="AA35" s="5">
        <v>170.7</v>
      </c>
      <c r="AB35" s="5">
        <v>269.5</v>
      </c>
      <c r="AC35" s="5">
        <v>147.9</v>
      </c>
      <c r="AD35" s="5">
        <v>289.6</v>
      </c>
      <c r="AE35" s="5">
        <v>165.5</v>
      </c>
      <c r="AF35" s="5">
        <v>295.7</v>
      </c>
      <c r="AG35" s="5">
        <v>181.3</v>
      </c>
      <c r="AH35" s="5">
        <v>283.3</v>
      </c>
      <c r="AI35" s="5">
        <v>183.5</v>
      </c>
      <c r="AJ35" s="5">
        <v>265</v>
      </c>
      <c r="AK35" s="5">
        <v>174.2</v>
      </c>
      <c r="AL35" s="5">
        <v>252.3</v>
      </c>
      <c r="AM35" s="5">
        <v>161.3</v>
      </c>
      <c r="AN35" s="5">
        <v>249.8</v>
      </c>
      <c r="AO35" s="5">
        <v>152.2</v>
      </c>
      <c r="AP35" s="5">
        <v>255.7</v>
      </c>
      <c r="AQ35" s="5">
        <v>150.3</v>
      </c>
      <c r="AR35" s="5">
        <v>264.5</v>
      </c>
      <c r="AS35" s="5">
        <v>154.5</v>
      </c>
      <c r="AT35" s="5">
        <v>270.5</v>
      </c>
      <c r="AU35" s="5">
        <v>160.4</v>
      </c>
      <c r="AV35" s="5">
        <v>271.3</v>
      </c>
      <c r="AW35" s="5">
        <v>164</v>
      </c>
      <c r="AX35" s="5">
        <v>268.1</v>
      </c>
      <c r="AY35" s="5">
        <v>164.5</v>
      </c>
      <c r="AZ35" s="5">
        <v>265.2</v>
      </c>
      <c r="BA35" s="5">
        <v>162.7</v>
      </c>
      <c r="BB35" s="5">
        <v>262.4</v>
      </c>
      <c r="BC35" s="5">
        <v>159.9</v>
      </c>
      <c r="BD35" s="5">
        <v>262</v>
      </c>
      <c r="BE35" s="5">
        <v>158.1</v>
      </c>
      <c r="BF35" s="5">
        <v>263.6</v>
      </c>
      <c r="BG35" s="5">
        <v>158.1</v>
      </c>
      <c r="BH35" s="5">
        <v>265.6</v>
      </c>
      <c r="BI35" s="5">
        <v>159.4</v>
      </c>
      <c r="BJ35" s="5">
        <v>266.6</v>
      </c>
      <c r="BK35" s="5">
        <v>160.7</v>
      </c>
      <c r="BL35" s="5">
        <v>266.3</v>
      </c>
      <c r="BM35" s="5">
        <v>161.2</v>
      </c>
      <c r="BN35" s="5">
        <v>265.3</v>
      </c>
      <c r="BO35" s="5">
        <v>160.8</v>
      </c>
      <c r="BP35" s="5">
        <v>264.6</v>
      </c>
      <c r="BQ35" s="5">
        <v>160.2</v>
      </c>
      <c r="BR35" s="5">
        <v>264.4</v>
      </c>
      <c r="BS35" s="5">
        <v>159.9</v>
      </c>
      <c r="BT35" s="5">
        <v>264.7</v>
      </c>
      <c r="BU35" s="5">
        <v>159.8</v>
      </c>
      <c r="BV35" s="5">
        <v>264.9</v>
      </c>
      <c r="BW35" s="5">
        <v>159.8</v>
      </c>
      <c r="BX35" s="5">
        <v>265.1</v>
      </c>
      <c r="BY35" s="5">
        <v>159.9</v>
      </c>
      <c r="BZ35" s="5">
        <v>265.3</v>
      </c>
      <c r="CA35" s="5">
        <v>160.1</v>
      </c>
      <c r="CB35" s="5">
        <v>265.4</v>
      </c>
      <c r="CC35" s="5">
        <v>160.4</v>
      </c>
      <c r="CD35" s="5">
        <v>265.3</v>
      </c>
      <c r="CE35" s="5">
        <v>160.6</v>
      </c>
      <c r="CF35" s="5">
        <v>265.1</v>
      </c>
      <c r="CG35" s="5">
        <v>160.5</v>
      </c>
      <c r="CH35" s="5">
        <v>264.7</v>
      </c>
      <c r="CI35" s="5">
        <v>160.1</v>
      </c>
      <c r="CJ35" s="5">
        <v>264.5</v>
      </c>
      <c r="CK35" s="5">
        <v>159.6</v>
      </c>
      <c r="CL35" s="5">
        <v>264.8</v>
      </c>
      <c r="CM35" s="5">
        <v>159.6</v>
      </c>
      <c r="CN35" s="5">
        <v>265.3</v>
      </c>
      <c r="CO35" s="5">
        <v>160</v>
      </c>
      <c r="CP35" s="5">
        <v>265.6</v>
      </c>
      <c r="CQ35" s="5">
        <v>160.5</v>
      </c>
      <c r="CR35" s="5">
        <v>265.5</v>
      </c>
      <c r="CS35" s="5">
        <v>160.7</v>
      </c>
      <c r="CT35" s="5">
        <v>265</v>
      </c>
      <c r="CU35" s="5">
        <v>160.4</v>
      </c>
      <c r="CV35" s="5">
        <v>264.5</v>
      </c>
      <c r="CW35" s="5">
        <v>159.9</v>
      </c>
      <c r="CX35" s="5">
        <v>264.5</v>
      </c>
      <c r="CY35" s="5">
        <v>159.5</v>
      </c>
      <c r="CZ35" s="5">
        <v>265</v>
      </c>
      <c r="DA35" s="5">
        <v>159.7</v>
      </c>
      <c r="DB35" s="5">
        <v>265.5</v>
      </c>
      <c r="DC35" s="5">
        <v>160.3</v>
      </c>
      <c r="DD35" s="5">
        <v>265.7</v>
      </c>
      <c r="DE35" s="5">
        <v>160.7</v>
      </c>
      <c r="DF35" s="5">
        <v>265.3</v>
      </c>
      <c r="DG35" s="5">
        <v>160.7</v>
      </c>
      <c r="DH35" s="5">
        <v>264.7</v>
      </c>
      <c r="DI35" s="5">
        <v>160.2</v>
      </c>
      <c r="DJ35" s="5">
        <v>264.4</v>
      </c>
      <c r="DK35" s="5">
        <v>15.4</v>
      </c>
    </row>
    <row r="36" spans="11:115" ht="15">
      <c r="K36" s="5"/>
      <c r="L36" s="5">
        <v>252.8</v>
      </c>
      <c r="M36" s="5">
        <v>809.4</v>
      </c>
      <c r="N36" s="5">
        <v>250.6</v>
      </c>
      <c r="O36" s="5">
        <v>756.1</v>
      </c>
      <c r="P36" s="5">
        <v>252.1</v>
      </c>
      <c r="Q36" s="5">
        <v>704.8</v>
      </c>
      <c r="R36" s="5">
        <v>256.1</v>
      </c>
      <c r="S36" s="5">
        <v>654.4</v>
      </c>
      <c r="T36">
        <v>262.5</v>
      </c>
      <c r="U36">
        <v>604.3</v>
      </c>
      <c r="V36" s="5">
        <v>6.6</v>
      </c>
      <c r="AA36" s="5">
        <v>201.9</v>
      </c>
      <c r="AB36" s="5">
        <v>406.8</v>
      </c>
      <c r="AC36" s="5">
        <v>186.2</v>
      </c>
      <c r="AD36" s="5">
        <v>439.8</v>
      </c>
      <c r="AE36" s="5">
        <v>214.1</v>
      </c>
      <c r="AF36" s="5">
        <v>445.3</v>
      </c>
      <c r="AG36" s="5">
        <v>233.7</v>
      </c>
      <c r="AH36" s="5">
        <v>425.8</v>
      </c>
      <c r="AI36" s="5">
        <v>232.9</v>
      </c>
      <c r="AJ36" s="5">
        <v>401.7</v>
      </c>
      <c r="AK36" s="5">
        <v>218.3</v>
      </c>
      <c r="AL36" s="5">
        <v>387.6</v>
      </c>
      <c r="AM36" s="5">
        <v>201.3</v>
      </c>
      <c r="AN36" s="5">
        <v>387.7</v>
      </c>
      <c r="AO36" s="5">
        <v>191.3</v>
      </c>
      <c r="AP36" s="5">
        <v>397.8</v>
      </c>
      <c r="AQ36" s="5">
        <v>191.6</v>
      </c>
      <c r="AR36" s="5">
        <v>409.8</v>
      </c>
      <c r="AS36" s="5">
        <v>199.4</v>
      </c>
      <c r="AT36" s="5">
        <v>416.2</v>
      </c>
      <c r="AU36" s="5">
        <v>207.5</v>
      </c>
      <c r="AV36" s="5">
        <v>414.8</v>
      </c>
      <c r="AW36" s="5">
        <v>211</v>
      </c>
      <c r="AX36" s="5">
        <v>408.9</v>
      </c>
      <c r="AY36" s="5">
        <v>210</v>
      </c>
      <c r="AZ36" s="5">
        <v>404.4</v>
      </c>
      <c r="BA36" s="5">
        <v>205.8</v>
      </c>
      <c r="BB36" s="5">
        <v>401.8</v>
      </c>
      <c r="BC36" s="5">
        <v>201.7</v>
      </c>
      <c r="BD36" s="5">
        <v>403.2</v>
      </c>
      <c r="BE36" s="5">
        <v>200.5</v>
      </c>
      <c r="BF36" s="5">
        <v>406.6</v>
      </c>
      <c r="BG36" s="5">
        <v>202.2</v>
      </c>
      <c r="BH36" s="5">
        <v>409.3</v>
      </c>
      <c r="BI36" s="5">
        <v>204.9</v>
      </c>
      <c r="BJ36" s="5">
        <v>409.6</v>
      </c>
      <c r="BK36" s="5">
        <v>206.4</v>
      </c>
      <c r="BL36" s="5">
        <v>407.8</v>
      </c>
      <c r="BM36" s="5">
        <v>206</v>
      </c>
      <c r="BN36" s="5">
        <v>405.9</v>
      </c>
      <c r="BO36" s="5">
        <v>204.5</v>
      </c>
      <c r="BP36" s="5">
        <v>405.2</v>
      </c>
      <c r="BQ36" s="5">
        <v>203.3</v>
      </c>
      <c r="BR36" s="5">
        <v>405.9</v>
      </c>
      <c r="BS36" s="5">
        <v>203.2</v>
      </c>
      <c r="BT36" s="5">
        <v>407</v>
      </c>
      <c r="BU36" s="5">
        <v>203.9</v>
      </c>
      <c r="BV36" s="5">
        <v>407.7</v>
      </c>
      <c r="BW36" s="5">
        <v>204.6</v>
      </c>
      <c r="BX36" s="5">
        <v>407.6</v>
      </c>
      <c r="BY36" s="5">
        <v>204.9</v>
      </c>
      <c r="BZ36" s="5">
        <v>407</v>
      </c>
      <c r="CA36" s="5">
        <v>204.7</v>
      </c>
      <c r="CB36" s="5">
        <v>406.5</v>
      </c>
      <c r="CC36" s="5">
        <v>204.3</v>
      </c>
      <c r="CD36" s="5">
        <v>406.4</v>
      </c>
      <c r="CE36" s="5">
        <v>204.1</v>
      </c>
      <c r="CF36" s="5">
        <v>406.6</v>
      </c>
      <c r="CG36" s="5">
        <v>204</v>
      </c>
      <c r="CH36" s="5">
        <v>406.8</v>
      </c>
      <c r="CI36" s="5">
        <v>204.1</v>
      </c>
      <c r="CJ36" s="5">
        <v>407</v>
      </c>
      <c r="CK36" s="5">
        <v>204.2</v>
      </c>
      <c r="CL36" s="5">
        <v>407.1</v>
      </c>
      <c r="CM36" s="5">
        <v>204.5</v>
      </c>
      <c r="CN36" s="5">
        <v>407.1</v>
      </c>
      <c r="CO36" s="5">
        <v>204.6</v>
      </c>
      <c r="CP36" s="5">
        <v>406.9</v>
      </c>
      <c r="CQ36" s="5">
        <v>204.5</v>
      </c>
      <c r="CR36" s="5">
        <v>406.7</v>
      </c>
      <c r="CS36" s="5">
        <v>204.3</v>
      </c>
      <c r="CT36" s="5">
        <v>406.5</v>
      </c>
      <c r="CU36" s="5">
        <v>204</v>
      </c>
      <c r="CV36" s="5">
        <v>406.7</v>
      </c>
      <c r="CW36" s="5">
        <v>204</v>
      </c>
      <c r="CX36" s="5">
        <v>407</v>
      </c>
      <c r="CY36" s="5">
        <v>204.2</v>
      </c>
      <c r="CZ36" s="5">
        <v>407.2</v>
      </c>
      <c r="DA36" s="5">
        <v>204.5</v>
      </c>
      <c r="DB36" s="5">
        <v>407.1</v>
      </c>
      <c r="DC36" s="5">
        <v>204.6</v>
      </c>
      <c r="DD36" s="5">
        <v>406.8</v>
      </c>
      <c r="DE36" s="5">
        <v>204.5</v>
      </c>
      <c r="DF36" s="5">
        <v>406.5</v>
      </c>
      <c r="DG36" s="5">
        <v>204.1</v>
      </c>
      <c r="DH36" s="5">
        <v>406.5</v>
      </c>
      <c r="DI36" s="5">
        <v>203.9</v>
      </c>
      <c r="DJ36" s="5">
        <v>406.8</v>
      </c>
      <c r="DK36" s="5">
        <v>15.8</v>
      </c>
    </row>
    <row r="37" spans="1:115" ht="15">
      <c r="A37" s="2" t="s">
        <v>16</v>
      </c>
      <c r="B37">
        <f>0.000001*0.01</f>
        <v>1E-08</v>
      </c>
      <c r="C37" s="3" t="s">
        <v>93</v>
      </c>
      <c r="D37" t="s">
        <v>69</v>
      </c>
      <c r="K37" s="5"/>
      <c r="L37" s="5">
        <v>294.5</v>
      </c>
      <c r="M37" s="5">
        <v>927.2</v>
      </c>
      <c r="N37" s="5">
        <v>292.5</v>
      </c>
      <c r="O37" s="5">
        <v>866</v>
      </c>
      <c r="P37" s="5">
        <v>294.8</v>
      </c>
      <c r="Q37" s="5">
        <v>806.7</v>
      </c>
      <c r="R37" s="5">
        <v>300.3</v>
      </c>
      <c r="S37" s="5">
        <v>748.3</v>
      </c>
      <c r="T37">
        <v>308.6</v>
      </c>
      <c r="U37">
        <v>690.1</v>
      </c>
      <c r="V37" s="5">
        <v>6.8</v>
      </c>
      <c r="AA37" s="5">
        <v>247.8</v>
      </c>
      <c r="AB37" s="5">
        <v>559.6</v>
      </c>
      <c r="AC37" s="5">
        <v>243</v>
      </c>
      <c r="AD37" s="5">
        <v>608.7</v>
      </c>
      <c r="AE37" s="5">
        <v>285.6</v>
      </c>
      <c r="AF37" s="5">
        <v>610.6</v>
      </c>
      <c r="AG37" s="5">
        <v>308.5</v>
      </c>
      <c r="AH37" s="5">
        <v>579.6</v>
      </c>
      <c r="AI37" s="5">
        <v>301.8</v>
      </c>
      <c r="AJ37" s="5">
        <v>547.8</v>
      </c>
      <c r="AK37" s="5">
        <v>278.9</v>
      </c>
      <c r="AL37" s="5">
        <v>533.4</v>
      </c>
      <c r="AM37" s="5">
        <v>257</v>
      </c>
      <c r="AN37" s="5">
        <v>538.7</v>
      </c>
      <c r="AO37" s="5">
        <v>247.4</v>
      </c>
      <c r="AP37" s="5">
        <v>555.2</v>
      </c>
      <c r="AQ37" s="5">
        <v>252.6</v>
      </c>
      <c r="AR37" s="5">
        <v>570.8</v>
      </c>
      <c r="AS37" s="5">
        <v>265.5</v>
      </c>
      <c r="AT37" s="5">
        <v>575.8</v>
      </c>
      <c r="AU37" s="5">
        <v>275.5</v>
      </c>
      <c r="AV37" s="5">
        <v>570</v>
      </c>
      <c r="AW37" s="5">
        <v>276.8</v>
      </c>
      <c r="AX37" s="5">
        <v>560.5</v>
      </c>
      <c r="AY37" s="5">
        <v>272.5</v>
      </c>
      <c r="AZ37" s="5">
        <v>555</v>
      </c>
      <c r="BA37" s="5">
        <v>265.6</v>
      </c>
      <c r="BB37" s="5">
        <v>554.6</v>
      </c>
      <c r="BC37" s="5">
        <v>261.6</v>
      </c>
      <c r="BD37" s="5">
        <v>559.1</v>
      </c>
      <c r="BE37" s="5">
        <v>262.6</v>
      </c>
      <c r="BF37" s="5">
        <v>564.3</v>
      </c>
      <c r="BG37" s="5">
        <v>266.8</v>
      </c>
      <c r="BH37" s="5">
        <v>566.3</v>
      </c>
      <c r="BI37" s="5">
        <v>270.4</v>
      </c>
      <c r="BJ37" s="5">
        <v>564.3</v>
      </c>
      <c r="BK37" s="5">
        <v>270.7</v>
      </c>
      <c r="BL37" s="5">
        <v>560.8</v>
      </c>
      <c r="BM37" s="5">
        <v>268.3</v>
      </c>
      <c r="BN37" s="5">
        <v>558.8</v>
      </c>
      <c r="BO37" s="5">
        <v>265.7</v>
      </c>
      <c r="BP37" s="5">
        <v>559.5</v>
      </c>
      <c r="BQ37" s="5">
        <v>265</v>
      </c>
      <c r="BR37" s="5">
        <v>561.7</v>
      </c>
      <c r="BS37" s="5">
        <v>266.2</v>
      </c>
      <c r="BT37" s="5">
        <v>563.3</v>
      </c>
      <c r="BU37" s="5">
        <v>268</v>
      </c>
      <c r="BV37" s="5">
        <v>563.2</v>
      </c>
      <c r="BW37" s="5">
        <v>268.7</v>
      </c>
      <c r="BX37" s="5">
        <v>561.9</v>
      </c>
      <c r="BY37" s="5">
        <v>268.1</v>
      </c>
      <c r="BZ37" s="5">
        <v>560.8</v>
      </c>
      <c r="CA37" s="5">
        <v>267</v>
      </c>
      <c r="CB37" s="5">
        <v>560.6</v>
      </c>
      <c r="CC37" s="5">
        <v>266.4</v>
      </c>
      <c r="CD37" s="5">
        <v>561.3</v>
      </c>
      <c r="CE37" s="5">
        <v>266.6</v>
      </c>
      <c r="CF37" s="5">
        <v>562</v>
      </c>
      <c r="CG37" s="5">
        <v>267.2</v>
      </c>
      <c r="CH37" s="5">
        <v>562.3</v>
      </c>
      <c r="CI37" s="5">
        <v>267.7</v>
      </c>
      <c r="CJ37" s="5">
        <v>562</v>
      </c>
      <c r="CK37" s="5">
        <v>267.7</v>
      </c>
      <c r="CL37" s="5">
        <v>561.5</v>
      </c>
      <c r="CM37" s="5">
        <v>267.4</v>
      </c>
      <c r="CN37" s="5">
        <v>561.3</v>
      </c>
      <c r="CO37" s="5">
        <v>267.1</v>
      </c>
      <c r="CP37" s="5">
        <v>561.3</v>
      </c>
      <c r="CQ37" s="5">
        <v>267</v>
      </c>
      <c r="CR37" s="5">
        <v>561.6</v>
      </c>
      <c r="CS37" s="5">
        <v>267.1</v>
      </c>
      <c r="CT37" s="5">
        <v>561.8</v>
      </c>
      <c r="CU37" s="5">
        <v>267.3</v>
      </c>
      <c r="CV37" s="5">
        <v>561.9</v>
      </c>
      <c r="CW37" s="5">
        <v>267.5</v>
      </c>
      <c r="CX37" s="5">
        <v>561.8</v>
      </c>
      <c r="CY37" s="5">
        <v>267.5</v>
      </c>
      <c r="CZ37" s="5">
        <v>561.6</v>
      </c>
      <c r="DA37" s="5">
        <v>267.3</v>
      </c>
      <c r="DB37" s="5">
        <v>561.4</v>
      </c>
      <c r="DC37" s="5">
        <v>267.2</v>
      </c>
      <c r="DD37" s="5">
        <v>561.5</v>
      </c>
      <c r="DE37" s="5">
        <v>267.1</v>
      </c>
      <c r="DF37" s="5">
        <v>561.6</v>
      </c>
      <c r="DG37" s="5">
        <v>267.1</v>
      </c>
      <c r="DH37" s="5">
        <v>561.8</v>
      </c>
      <c r="DI37" s="5">
        <v>267.3</v>
      </c>
      <c r="DJ37" s="5">
        <v>561.8</v>
      </c>
      <c r="DK37" s="5">
        <v>16.2</v>
      </c>
    </row>
    <row r="38" spans="1:115" ht="18">
      <c r="A38" s="5" t="s">
        <v>62</v>
      </c>
      <c r="B38">
        <f>1.62*ρρ</f>
        <v>1.6200000000000003E-08</v>
      </c>
      <c r="C38" s="3" t="s">
        <v>93</v>
      </c>
      <c r="D38" t="s">
        <v>28</v>
      </c>
      <c r="K38" s="5"/>
      <c r="L38" s="5">
        <v>345.8</v>
      </c>
      <c r="M38" s="5">
        <v>1056</v>
      </c>
      <c r="N38" s="5">
        <v>344.1</v>
      </c>
      <c r="O38" s="5">
        <v>986.1</v>
      </c>
      <c r="P38" s="5">
        <v>347.5</v>
      </c>
      <c r="Q38" s="5">
        <v>918</v>
      </c>
      <c r="R38" s="5">
        <v>354.7</v>
      </c>
      <c r="S38" s="5">
        <v>850.6</v>
      </c>
      <c r="T38">
        <v>365.6</v>
      </c>
      <c r="U38">
        <v>783.1</v>
      </c>
      <c r="V38" s="5">
        <v>7</v>
      </c>
      <c r="AA38" s="5">
        <v>315</v>
      </c>
      <c r="AB38" s="5">
        <v>737.8</v>
      </c>
      <c r="AC38" s="5">
        <v>330.2</v>
      </c>
      <c r="AD38" s="5">
        <v>805.6</v>
      </c>
      <c r="AE38" s="5">
        <v>393.3</v>
      </c>
      <c r="AF38" s="5">
        <v>796.7</v>
      </c>
      <c r="AG38" s="5">
        <v>417.1</v>
      </c>
      <c r="AH38" s="5">
        <v>747</v>
      </c>
      <c r="AI38" s="5">
        <v>398.5</v>
      </c>
      <c r="AJ38" s="5">
        <v>706.1</v>
      </c>
      <c r="AK38" s="5">
        <v>363.6</v>
      </c>
      <c r="AL38" s="5">
        <v>694.5</v>
      </c>
      <c r="AM38" s="5">
        <v>336.4</v>
      </c>
      <c r="AN38" s="5">
        <v>709.2</v>
      </c>
      <c r="AO38" s="5">
        <v>330.3</v>
      </c>
      <c r="AP38" s="5">
        <v>735.1</v>
      </c>
      <c r="AQ38" s="5">
        <v>344.2</v>
      </c>
      <c r="AR38" s="5">
        <v>753.4</v>
      </c>
      <c r="AS38" s="5">
        <v>363.8</v>
      </c>
      <c r="AT38" s="5">
        <v>753.4</v>
      </c>
      <c r="AU38" s="5">
        <v>373.6</v>
      </c>
      <c r="AV38" s="5">
        <v>740.3</v>
      </c>
      <c r="AW38" s="5">
        <v>370.6</v>
      </c>
      <c r="AX38" s="5">
        <v>728.2</v>
      </c>
      <c r="AY38" s="5">
        <v>360.4</v>
      </c>
      <c r="AZ38" s="5">
        <v>723.2</v>
      </c>
      <c r="BA38" s="5">
        <v>351.6</v>
      </c>
      <c r="BB38" s="5">
        <v>727.4</v>
      </c>
      <c r="BC38" s="5">
        <v>349.9</v>
      </c>
      <c r="BD38" s="5">
        <v>735.8</v>
      </c>
      <c r="BE38" s="5">
        <v>355.2</v>
      </c>
      <c r="BF38" s="5">
        <v>741.4</v>
      </c>
      <c r="BG38" s="5">
        <v>361.8</v>
      </c>
      <c r="BH38" s="5">
        <v>740.3</v>
      </c>
      <c r="BI38" s="5">
        <v>364.2</v>
      </c>
      <c r="BJ38" s="5">
        <v>734.9</v>
      </c>
      <c r="BK38" s="5">
        <v>361.4</v>
      </c>
      <c r="BL38" s="5">
        <v>730.5</v>
      </c>
      <c r="BM38" s="5">
        <v>356.9</v>
      </c>
      <c r="BN38" s="5">
        <v>730.5</v>
      </c>
      <c r="BO38" s="5">
        <v>354.7</v>
      </c>
      <c r="BP38" s="5">
        <v>733.8</v>
      </c>
      <c r="BQ38" s="5">
        <v>356.2</v>
      </c>
      <c r="BR38" s="5">
        <v>737</v>
      </c>
      <c r="BS38" s="5">
        <v>359.2</v>
      </c>
      <c r="BT38" s="5">
        <v>737.4</v>
      </c>
      <c r="BU38" s="5">
        <v>360.9</v>
      </c>
      <c r="BV38" s="5">
        <v>735.3</v>
      </c>
      <c r="BW38" s="5">
        <v>360.2</v>
      </c>
      <c r="BX38" s="5">
        <v>733.1</v>
      </c>
      <c r="BY38" s="5">
        <v>358.1</v>
      </c>
      <c r="BZ38" s="5">
        <v>732.6</v>
      </c>
      <c r="CA38" s="5">
        <v>356.9</v>
      </c>
      <c r="CB38" s="5">
        <v>733.9</v>
      </c>
      <c r="CC38" s="5">
        <v>357.3</v>
      </c>
      <c r="CD38" s="5">
        <v>735.5</v>
      </c>
      <c r="CE38" s="5">
        <v>358.6</v>
      </c>
      <c r="CF38" s="5">
        <v>735.9</v>
      </c>
      <c r="CG38" s="5">
        <v>359.5</v>
      </c>
      <c r="CH38" s="5">
        <v>735.1</v>
      </c>
      <c r="CI38" s="5">
        <v>359.4</v>
      </c>
      <c r="CJ38" s="5">
        <v>734</v>
      </c>
      <c r="CK38" s="5">
        <v>358.5</v>
      </c>
      <c r="CL38" s="5">
        <v>733.7</v>
      </c>
      <c r="CM38" s="5">
        <v>357.8</v>
      </c>
      <c r="CN38" s="5">
        <v>734.1</v>
      </c>
      <c r="CO38" s="5">
        <v>357.8</v>
      </c>
      <c r="CP38" s="5">
        <v>734.9</v>
      </c>
      <c r="CQ38" s="5">
        <v>358.4</v>
      </c>
      <c r="CR38" s="5">
        <v>735.2</v>
      </c>
      <c r="CS38" s="5">
        <v>358.9</v>
      </c>
      <c r="CT38" s="5">
        <v>735</v>
      </c>
      <c r="CU38" s="5">
        <v>359</v>
      </c>
      <c r="CV38" s="5">
        <v>734.4</v>
      </c>
      <c r="CW38" s="5">
        <v>358.6</v>
      </c>
      <c r="CX38" s="5">
        <v>734.1</v>
      </c>
      <c r="CY38" s="5">
        <v>358.2</v>
      </c>
      <c r="CZ38" s="5">
        <v>734.3</v>
      </c>
      <c r="DA38" s="5">
        <v>358.1</v>
      </c>
      <c r="DB38" s="5">
        <v>734.7</v>
      </c>
      <c r="DC38" s="5">
        <v>358.4</v>
      </c>
      <c r="DD38" s="5">
        <v>734.9</v>
      </c>
      <c r="DE38" s="5">
        <v>358.7</v>
      </c>
      <c r="DF38" s="5">
        <v>734.8</v>
      </c>
      <c r="DG38" s="5">
        <v>358.8</v>
      </c>
      <c r="DH38" s="5">
        <v>734.6</v>
      </c>
      <c r="DI38" s="5">
        <v>358.6</v>
      </c>
      <c r="DJ38" s="5">
        <v>734.3</v>
      </c>
      <c r="DK38" s="5">
        <v>16.6</v>
      </c>
    </row>
    <row r="39" spans="1:115" ht="18">
      <c r="A39" s="5" t="s">
        <v>63</v>
      </c>
      <c r="B39">
        <f>1.7241*ρρ</f>
        <v>1.7241E-08</v>
      </c>
      <c r="C39" s="3" t="s">
        <v>93</v>
      </c>
      <c r="D39" t="s">
        <v>29</v>
      </c>
      <c r="K39" s="5"/>
      <c r="L39" s="5">
        <v>409.6</v>
      </c>
      <c r="M39" s="5">
        <v>1199</v>
      </c>
      <c r="N39" s="5">
        <v>408.4</v>
      </c>
      <c r="O39" s="5">
        <v>1119</v>
      </c>
      <c r="P39" s="5">
        <v>413.4</v>
      </c>
      <c r="Q39" s="5">
        <v>1041</v>
      </c>
      <c r="R39" s="5">
        <v>423</v>
      </c>
      <c r="S39" s="5">
        <v>962.8</v>
      </c>
      <c r="T39">
        <v>437.1</v>
      </c>
      <c r="U39">
        <v>884.4</v>
      </c>
      <c r="V39" s="5">
        <v>7.2</v>
      </c>
      <c r="AA39" s="5">
        <v>419.3</v>
      </c>
      <c r="AB39" s="5">
        <v>951.4</v>
      </c>
      <c r="AC39" s="5">
        <v>468.8</v>
      </c>
      <c r="AD39" s="5">
        <v>1041</v>
      </c>
      <c r="AE39" s="5">
        <v>559.5</v>
      </c>
      <c r="AF39" s="5">
        <v>1007</v>
      </c>
      <c r="AG39" s="5">
        <v>576.6</v>
      </c>
      <c r="AH39" s="5">
        <v>928.9</v>
      </c>
      <c r="AI39" s="5">
        <v>536.8</v>
      </c>
      <c r="AJ39" s="5">
        <v>879.4</v>
      </c>
      <c r="AK39" s="5">
        <v>485.3</v>
      </c>
      <c r="AL39" s="5">
        <v>876.7</v>
      </c>
      <c r="AM39" s="5">
        <v>454.5</v>
      </c>
      <c r="AN39" s="5">
        <v>907.7</v>
      </c>
      <c r="AO39" s="5">
        <v>458</v>
      </c>
      <c r="AP39" s="5">
        <v>945.6</v>
      </c>
      <c r="AQ39" s="5">
        <v>486.3</v>
      </c>
      <c r="AR39" s="5">
        <v>963.1</v>
      </c>
      <c r="AS39" s="5">
        <v>512.4</v>
      </c>
      <c r="AT39" s="5">
        <v>952</v>
      </c>
      <c r="AU39" s="5">
        <v>517.1</v>
      </c>
      <c r="AV39" s="5">
        <v>928.8</v>
      </c>
      <c r="AW39" s="5">
        <v>505.1</v>
      </c>
      <c r="AX39" s="5">
        <v>915.2</v>
      </c>
      <c r="AY39" s="5">
        <v>488.9</v>
      </c>
      <c r="AZ39" s="5">
        <v>915.9</v>
      </c>
      <c r="BA39" s="5">
        <v>481</v>
      </c>
      <c r="BB39" s="5">
        <v>927.6</v>
      </c>
      <c r="BC39" s="5">
        <v>485.5</v>
      </c>
      <c r="BD39" s="5">
        <v>939.3</v>
      </c>
      <c r="BE39" s="5">
        <v>496.4</v>
      </c>
      <c r="BF39" s="5">
        <v>941.6</v>
      </c>
      <c r="BG39" s="5">
        <v>503.2</v>
      </c>
      <c r="BH39" s="5">
        <v>934.5</v>
      </c>
      <c r="BI39" s="5">
        <v>501.1</v>
      </c>
      <c r="BJ39" s="5">
        <v>926.3</v>
      </c>
      <c r="BK39" s="5">
        <v>494</v>
      </c>
      <c r="BL39" s="5">
        <v>924</v>
      </c>
      <c r="BM39" s="5">
        <v>489</v>
      </c>
      <c r="BN39" s="5">
        <v>928.3</v>
      </c>
      <c r="BO39" s="5">
        <v>489.9</v>
      </c>
      <c r="BP39" s="5">
        <v>934</v>
      </c>
      <c r="BQ39" s="5">
        <v>494.7</v>
      </c>
      <c r="BR39" s="5">
        <v>935.9</v>
      </c>
      <c r="BS39" s="5">
        <v>498.4</v>
      </c>
      <c r="BT39" s="5">
        <v>933.1</v>
      </c>
      <c r="BU39" s="5">
        <v>497.8</v>
      </c>
      <c r="BV39" s="5">
        <v>929</v>
      </c>
      <c r="BW39" s="5">
        <v>494.4</v>
      </c>
      <c r="BX39" s="5">
        <v>927.7</v>
      </c>
      <c r="BY39" s="5">
        <v>491.9</v>
      </c>
      <c r="BZ39" s="5">
        <v>929.6</v>
      </c>
      <c r="CA39" s="5">
        <v>492.3</v>
      </c>
      <c r="CB39" s="5">
        <v>932.5</v>
      </c>
      <c r="CC39" s="5">
        <v>494.7</v>
      </c>
      <c r="CD39" s="5">
        <v>933.4</v>
      </c>
      <c r="CE39" s="5">
        <v>496.4</v>
      </c>
      <c r="CF39" s="5">
        <v>932</v>
      </c>
      <c r="CG39" s="5">
        <v>496.1</v>
      </c>
      <c r="CH39" s="5">
        <v>930</v>
      </c>
      <c r="CI39" s="5">
        <v>494.5</v>
      </c>
      <c r="CJ39" s="5">
        <v>929.4</v>
      </c>
      <c r="CK39" s="5">
        <v>493.2</v>
      </c>
      <c r="CL39" s="5">
        <v>930.4</v>
      </c>
      <c r="CM39" s="5">
        <v>493.4</v>
      </c>
      <c r="CN39" s="5">
        <v>931.8</v>
      </c>
      <c r="CO39" s="5">
        <v>494.7</v>
      </c>
      <c r="CP39" s="5">
        <v>932.3</v>
      </c>
      <c r="CQ39" s="5">
        <v>495.6</v>
      </c>
      <c r="CR39" s="5">
        <v>931.5</v>
      </c>
      <c r="CS39" s="5">
        <v>495.4</v>
      </c>
      <c r="CT39" s="5">
        <v>930.5</v>
      </c>
      <c r="CU39" s="5">
        <v>494.5</v>
      </c>
      <c r="CV39" s="5">
        <v>930.2</v>
      </c>
      <c r="CW39" s="5">
        <v>493.8</v>
      </c>
      <c r="CX39" s="5">
        <v>930.7</v>
      </c>
      <c r="CY39" s="5">
        <v>493.9</v>
      </c>
      <c r="CZ39" s="5">
        <v>931.5</v>
      </c>
      <c r="DA39" s="5">
        <v>494.6</v>
      </c>
      <c r="DB39" s="5">
        <v>931.7</v>
      </c>
      <c r="DC39" s="5">
        <v>495.2</v>
      </c>
      <c r="DD39" s="5">
        <v>931.3</v>
      </c>
      <c r="DE39" s="5">
        <v>495</v>
      </c>
      <c r="DF39" s="5">
        <v>930.7</v>
      </c>
      <c r="DG39" s="5">
        <v>494.5</v>
      </c>
      <c r="DH39" s="5">
        <v>930.5</v>
      </c>
      <c r="DI39" s="5">
        <v>494.1</v>
      </c>
      <c r="DJ39" s="5">
        <v>930.8</v>
      </c>
      <c r="DK39" s="5">
        <v>17</v>
      </c>
    </row>
    <row r="40" spans="1:22" ht="18">
      <c r="A40" s="5" t="s">
        <v>64</v>
      </c>
      <c r="B40">
        <f>2.44*ρρ</f>
        <v>2.44E-08</v>
      </c>
      <c r="C40" s="3" t="s">
        <v>93</v>
      </c>
      <c r="D40" t="s">
        <v>30</v>
      </c>
      <c r="K40" s="5"/>
      <c r="L40" s="5">
        <v>490.6</v>
      </c>
      <c r="M40" s="5">
        <v>1358</v>
      </c>
      <c r="N40" s="5">
        <v>490.1</v>
      </c>
      <c r="O40" s="5">
        <v>1266</v>
      </c>
      <c r="P40" s="5">
        <v>497.1</v>
      </c>
      <c r="Q40" s="5">
        <v>1177</v>
      </c>
      <c r="R40" s="5">
        <v>509.8</v>
      </c>
      <c r="S40" s="5">
        <v>1086</v>
      </c>
      <c r="T40">
        <v>528.3</v>
      </c>
      <c r="U40">
        <v>994.8</v>
      </c>
      <c r="V40" s="5">
        <v>7.4</v>
      </c>
    </row>
    <row r="41" spans="1:22" ht="18">
      <c r="A41" t="s">
        <v>65</v>
      </c>
      <c r="B41">
        <f>2.62*ρρ</f>
        <v>2.6200000000000003E-08</v>
      </c>
      <c r="C41" s="3" t="s">
        <v>93</v>
      </c>
      <c r="D41" t="s">
        <v>31</v>
      </c>
      <c r="K41" s="5"/>
      <c r="L41" s="5">
        <v>595.3</v>
      </c>
      <c r="M41" s="5">
        <v>1538</v>
      </c>
      <c r="N41" s="5">
        <v>595.7</v>
      </c>
      <c r="O41" s="5">
        <v>1432</v>
      </c>
      <c r="P41" s="5">
        <v>605.5</v>
      </c>
      <c r="Q41" s="5">
        <v>1328</v>
      </c>
      <c r="R41" s="5">
        <v>622.3</v>
      </c>
      <c r="S41" s="5">
        <v>1223</v>
      </c>
      <c r="T41">
        <v>646.3</v>
      </c>
      <c r="U41">
        <v>1114</v>
      </c>
      <c r="V41" s="5">
        <v>7.6</v>
      </c>
    </row>
    <row r="42" spans="1:30" ht="18">
      <c r="A42" t="s">
        <v>66</v>
      </c>
      <c r="B42">
        <f>9.71*ρρ</f>
        <v>9.710000000000002E-08</v>
      </c>
      <c r="C42" s="3" t="s">
        <v>93</v>
      </c>
      <c r="D42" t="s">
        <v>32</v>
      </c>
      <c r="K42" s="5"/>
      <c r="L42" s="5">
        <v>733.8</v>
      </c>
      <c r="M42" s="5">
        <v>1742</v>
      </c>
      <c r="N42" s="5">
        <v>735.5</v>
      </c>
      <c r="O42" s="5">
        <v>1620</v>
      </c>
      <c r="P42" s="5">
        <v>748.8</v>
      </c>
      <c r="Q42" s="5">
        <v>1498</v>
      </c>
      <c r="R42" s="5">
        <v>770.9</v>
      </c>
      <c r="S42" s="5">
        <v>1373</v>
      </c>
      <c r="T42">
        <v>801.8</v>
      </c>
      <c r="U42">
        <v>1242</v>
      </c>
      <c r="V42" s="5">
        <v>7.8</v>
      </c>
      <c r="Y42" s="5"/>
      <c r="Z42" s="5"/>
      <c r="AA42" s="5"/>
      <c r="AB42" s="5"/>
      <c r="AC42" s="5"/>
      <c r="AD42" s="5"/>
    </row>
    <row r="43" spans="1:30" ht="18">
      <c r="A43" t="s">
        <v>67</v>
      </c>
      <c r="B43">
        <f>11.4*ρρ</f>
        <v>1.14E-07</v>
      </c>
      <c r="C43" s="3" t="s">
        <v>93</v>
      </c>
      <c r="D43" t="s">
        <v>33</v>
      </c>
      <c r="K43" s="5"/>
      <c r="L43" s="5">
        <v>921.6</v>
      </c>
      <c r="M43" s="5">
        <v>1976</v>
      </c>
      <c r="N43" s="5">
        <v>924.9</v>
      </c>
      <c r="O43" s="5">
        <v>1832</v>
      </c>
      <c r="P43" s="5">
        <v>942.6</v>
      </c>
      <c r="Q43" s="5">
        <v>1687</v>
      </c>
      <c r="R43" s="5">
        <v>971.2</v>
      </c>
      <c r="S43" s="5">
        <v>1535</v>
      </c>
      <c r="T43">
        <v>1010</v>
      </c>
      <c r="U43">
        <v>1373</v>
      </c>
      <c r="V43" s="5">
        <v>8</v>
      </c>
      <c r="Y43" s="5"/>
      <c r="Z43" s="5"/>
      <c r="AA43" s="5"/>
      <c r="AB43" s="5"/>
      <c r="AC43" s="5"/>
      <c r="AD43" s="5"/>
    </row>
    <row r="44" spans="1:30" ht="18">
      <c r="A44" t="s">
        <v>68</v>
      </c>
      <c r="B44">
        <f>21.9*ρρ</f>
        <v>2.19E-07</v>
      </c>
      <c r="C44" s="3" t="s">
        <v>93</v>
      </c>
      <c r="D44" t="s">
        <v>34</v>
      </c>
      <c r="K44" s="5"/>
      <c r="L44" s="5">
        <v>1184</v>
      </c>
      <c r="M44" s="5">
        <v>2243</v>
      </c>
      <c r="N44" s="5">
        <v>1189</v>
      </c>
      <c r="O44" s="5">
        <v>2070</v>
      </c>
      <c r="P44" s="5">
        <v>1211</v>
      </c>
      <c r="Q44" s="5">
        <v>1891</v>
      </c>
      <c r="R44" s="5">
        <v>1246</v>
      </c>
      <c r="S44" s="5">
        <v>1702</v>
      </c>
      <c r="T44">
        <v>1291</v>
      </c>
      <c r="U44">
        <v>1493</v>
      </c>
      <c r="V44" s="5">
        <v>8.2</v>
      </c>
      <c r="Y44" s="5"/>
      <c r="Z44" s="5"/>
      <c r="AA44" s="5"/>
      <c r="AB44" s="5"/>
      <c r="AC44" s="5"/>
      <c r="AD44" s="5"/>
    </row>
    <row r="45" spans="1:30" ht="18">
      <c r="A45" s="5" t="s">
        <v>303</v>
      </c>
      <c r="B45">
        <f>14.5*ρρ</f>
        <v>1.4500000000000001E-07</v>
      </c>
      <c r="C45" s="3" t="s">
        <v>93</v>
      </c>
      <c r="D45" t="s">
        <v>206</v>
      </c>
      <c r="K45" s="5"/>
      <c r="L45" s="5">
        <v>1561</v>
      </c>
      <c r="M45" s="5">
        <v>2539</v>
      </c>
      <c r="N45" s="5">
        <v>1566</v>
      </c>
      <c r="O45" s="5">
        <v>2325</v>
      </c>
      <c r="P45" s="5">
        <v>1591</v>
      </c>
      <c r="Q45" s="5">
        <v>2098</v>
      </c>
      <c r="R45" s="5">
        <v>1629</v>
      </c>
      <c r="S45" s="5">
        <v>1850</v>
      </c>
      <c r="T45">
        <v>1672</v>
      </c>
      <c r="U45">
        <v>1572</v>
      </c>
      <c r="V45" s="5">
        <v>8.4</v>
      </c>
      <c r="Y45" s="5"/>
      <c r="Z45" s="5"/>
      <c r="AA45" s="5"/>
      <c r="AB45" s="5"/>
      <c r="AC45" s="5"/>
      <c r="AD45" s="5"/>
    </row>
    <row r="46" spans="11:30" ht="15">
      <c r="K46" s="5"/>
      <c r="L46" s="5">
        <v>2120</v>
      </c>
      <c r="M46" s="5">
        <v>2844</v>
      </c>
      <c r="N46" s="5">
        <v>2117</v>
      </c>
      <c r="O46" s="5">
        <v>2567</v>
      </c>
      <c r="P46" s="5">
        <v>2136</v>
      </c>
      <c r="Q46" s="5">
        <v>2265</v>
      </c>
      <c r="R46" s="5">
        <v>2160</v>
      </c>
      <c r="S46" s="5">
        <v>1929</v>
      </c>
      <c r="T46">
        <v>2172</v>
      </c>
      <c r="U46">
        <v>1548</v>
      </c>
      <c r="V46" s="5">
        <v>8.6</v>
      </c>
      <c r="Y46" s="5"/>
      <c r="Z46" s="5"/>
      <c r="AA46" s="5"/>
      <c r="AB46" s="5"/>
      <c r="AC46" s="5"/>
      <c r="AD46" s="5"/>
    </row>
    <row r="47" spans="11:30" ht="15">
      <c r="K47" s="5"/>
      <c r="L47" s="5">
        <v>2962</v>
      </c>
      <c r="M47" s="5">
        <v>3080</v>
      </c>
      <c r="N47" s="5">
        <v>2926</v>
      </c>
      <c r="O47" s="5">
        <v>2706</v>
      </c>
      <c r="P47" s="5">
        <v>2903</v>
      </c>
      <c r="Q47" s="5">
        <v>2289</v>
      </c>
      <c r="R47" s="5">
        <v>2861</v>
      </c>
      <c r="S47" s="5">
        <v>1824</v>
      </c>
      <c r="T47">
        <v>2769</v>
      </c>
      <c r="U47">
        <v>1312</v>
      </c>
      <c r="V47" s="5">
        <v>8.8</v>
      </c>
      <c r="Y47" s="5" t="s">
        <v>398</v>
      </c>
      <c r="Z47" s="5"/>
      <c r="AA47" s="5"/>
      <c r="AB47" s="5"/>
      <c r="AC47" s="5"/>
      <c r="AD47" s="5"/>
    </row>
    <row r="48" spans="1:37" ht="15">
      <c r="A48" s="5" t="s">
        <v>318</v>
      </c>
      <c r="K48" s="5"/>
      <c r="L48" s="5">
        <v>4192</v>
      </c>
      <c r="M48" s="5">
        <v>3026</v>
      </c>
      <c r="N48" s="5">
        <v>4047</v>
      </c>
      <c r="O48" s="5">
        <v>2518</v>
      </c>
      <c r="P48" s="5">
        <v>3882</v>
      </c>
      <c r="Q48" s="5">
        <v>1953</v>
      </c>
      <c r="R48" s="5">
        <v>3655</v>
      </c>
      <c r="S48" s="5">
        <v>1352</v>
      </c>
      <c r="T48">
        <v>3331</v>
      </c>
      <c r="U48">
        <v>746.1</v>
      </c>
      <c r="V48" s="5">
        <v>9</v>
      </c>
      <c r="Y48" s="5"/>
      <c r="Z48" s="5" t="s">
        <v>400</v>
      </c>
      <c r="AA48" s="5">
        <v>1</v>
      </c>
      <c r="AB48" s="5">
        <v>1.111</v>
      </c>
      <c r="AC48" s="5">
        <v>1.25</v>
      </c>
      <c r="AD48" s="5">
        <v>1.429</v>
      </c>
      <c r="AE48">
        <v>1.667</v>
      </c>
      <c r="AF48">
        <v>2</v>
      </c>
      <c r="AG48">
        <v>2.5</v>
      </c>
      <c r="AH48">
        <v>3.333</v>
      </c>
      <c r="AI48">
        <v>5</v>
      </c>
      <c r="AJ48">
        <v>10</v>
      </c>
      <c r="AK48">
        <v>20</v>
      </c>
    </row>
    <row r="49" spans="1:30" ht="15">
      <c r="A49" s="4" t="s">
        <v>205</v>
      </c>
      <c r="B49">
        <f>3.8*ρρ</f>
        <v>3.7999999999999996E-08</v>
      </c>
      <c r="C49" s="3" t="s">
        <v>93</v>
      </c>
      <c r="D49" t="s">
        <v>27</v>
      </c>
      <c r="K49" s="5"/>
      <c r="L49" s="5">
        <v>5712</v>
      </c>
      <c r="M49" s="5">
        <v>2218</v>
      </c>
      <c r="N49" s="5">
        <v>5293</v>
      </c>
      <c r="O49" s="5">
        <v>1614</v>
      </c>
      <c r="P49" s="5">
        <v>4810</v>
      </c>
      <c r="Q49" s="5">
        <v>981.3</v>
      </c>
      <c r="R49" s="5">
        <v>4242</v>
      </c>
      <c r="S49" s="5">
        <v>381.9</v>
      </c>
      <c r="T49">
        <v>3592</v>
      </c>
      <c r="U49">
        <v>-131.5</v>
      </c>
      <c r="V49" s="5">
        <v>9.2</v>
      </c>
      <c r="Y49" s="5" t="s">
        <v>399</v>
      </c>
      <c r="Z49" s="5"/>
      <c r="AA49" s="5"/>
      <c r="AB49" s="5"/>
      <c r="AC49" s="5"/>
      <c r="AD49" s="5"/>
    </row>
    <row r="50" spans="1:37" ht="15">
      <c r="A50" s="5" t="s">
        <v>104</v>
      </c>
      <c r="B50">
        <v>1</v>
      </c>
      <c r="D50" t="s">
        <v>123</v>
      </c>
      <c r="K50" s="5"/>
      <c r="L50" s="5">
        <v>6743</v>
      </c>
      <c r="M50" s="5">
        <v>265.5</v>
      </c>
      <c r="N50" s="5">
        <v>5938</v>
      </c>
      <c r="O50" s="5">
        <v>-157.5</v>
      </c>
      <c r="P50" s="5">
        <v>5084</v>
      </c>
      <c r="Q50" s="5">
        <v>-549.3</v>
      </c>
      <c r="R50" s="5">
        <v>4216</v>
      </c>
      <c r="S50" s="5">
        <v>-850.2</v>
      </c>
      <c r="T50">
        <v>3368</v>
      </c>
      <c r="U50">
        <v>-1037</v>
      </c>
      <c r="V50" s="5">
        <v>9.4</v>
      </c>
      <c r="Y50" s="5">
        <v>0</v>
      </c>
      <c r="Z50" s="5"/>
      <c r="AA50" s="5">
        <v>5.31</v>
      </c>
      <c r="AB50" s="5">
        <v>3.73</v>
      </c>
      <c r="AC50" s="5">
        <v>2.74</v>
      </c>
      <c r="AD50" s="5">
        <v>2.12</v>
      </c>
      <c r="AE50">
        <v>1.74</v>
      </c>
      <c r="AF50">
        <v>1.44</v>
      </c>
      <c r="AG50">
        <v>1.25</v>
      </c>
      <c r="AH50">
        <v>1.16</v>
      </c>
      <c r="AI50">
        <v>1.07</v>
      </c>
      <c r="AJ50">
        <v>1.02</v>
      </c>
      <c r="AK50">
        <v>1</v>
      </c>
    </row>
    <row r="51" spans="11:37" ht="15">
      <c r="K51" s="5"/>
      <c r="L51" s="5">
        <v>6255</v>
      </c>
      <c r="M51" s="5">
        <v>-2032</v>
      </c>
      <c r="N51" s="5">
        <v>5342</v>
      </c>
      <c r="O51" s="5">
        <v>-1990</v>
      </c>
      <c r="P51" s="5">
        <v>4432</v>
      </c>
      <c r="Q51" s="5">
        <v>-1919</v>
      </c>
      <c r="R51" s="5">
        <v>3574</v>
      </c>
      <c r="S51" s="5">
        <v>-1806</v>
      </c>
      <c r="T51">
        <v>2796</v>
      </c>
      <c r="U51">
        <v>-1648</v>
      </c>
      <c r="V51" s="5">
        <v>9.6</v>
      </c>
      <c r="Y51" s="5">
        <v>0.2</v>
      </c>
      <c r="Z51" s="5"/>
      <c r="AA51" s="5">
        <v>5.45</v>
      </c>
      <c r="AB51" s="5">
        <v>3.84</v>
      </c>
      <c r="AC51" s="5">
        <v>2.83</v>
      </c>
      <c r="AD51" s="5">
        <v>2.2</v>
      </c>
      <c r="AE51">
        <v>1.77</v>
      </c>
      <c r="AF51">
        <v>1.48</v>
      </c>
      <c r="AG51">
        <v>1.29</v>
      </c>
      <c r="AH51">
        <v>1.19</v>
      </c>
      <c r="AI51">
        <v>1.08</v>
      </c>
      <c r="AJ51">
        <v>1.02</v>
      </c>
      <c r="AK51">
        <v>1</v>
      </c>
    </row>
    <row r="52" spans="11:37" ht="15">
      <c r="K52" s="5"/>
      <c r="L52" s="5">
        <v>4718</v>
      </c>
      <c r="M52" s="5">
        <v>-3322</v>
      </c>
      <c r="N52" s="5">
        <v>4040</v>
      </c>
      <c r="O52" s="5">
        <v>-2959</v>
      </c>
      <c r="P52" s="5">
        <v>3366</v>
      </c>
      <c r="Q52" s="5">
        <v>-2596</v>
      </c>
      <c r="R52" s="5">
        <v>2734</v>
      </c>
      <c r="S52" s="5">
        <v>-2243</v>
      </c>
      <c r="T52">
        <v>2160</v>
      </c>
      <c r="U52">
        <v>-1903</v>
      </c>
      <c r="V52" s="5">
        <v>9.8</v>
      </c>
      <c r="Y52" s="5">
        <v>0.4</v>
      </c>
      <c r="Z52" s="5"/>
      <c r="AA52" s="5">
        <v>5.65</v>
      </c>
      <c r="AB52" s="5">
        <v>3.99</v>
      </c>
      <c r="AC52" s="5">
        <v>2.97</v>
      </c>
      <c r="AD52" s="5">
        <v>2.28</v>
      </c>
      <c r="AE52">
        <v>1.83</v>
      </c>
      <c r="AF52">
        <v>1.54</v>
      </c>
      <c r="AG52">
        <v>1.33</v>
      </c>
      <c r="AH52">
        <v>1.21</v>
      </c>
      <c r="AI52">
        <v>1.08</v>
      </c>
      <c r="AJ52">
        <v>1.03</v>
      </c>
      <c r="AK52">
        <v>1</v>
      </c>
    </row>
    <row r="53" spans="11:37" ht="15">
      <c r="K53" s="5"/>
      <c r="L53" s="5">
        <v>3253</v>
      </c>
      <c r="M53" s="5">
        <v>-3573</v>
      </c>
      <c r="N53" s="5">
        <v>2839</v>
      </c>
      <c r="O53" s="5">
        <v>-3141</v>
      </c>
      <c r="P53" s="5">
        <v>2416</v>
      </c>
      <c r="Q53" s="5">
        <v>-2711</v>
      </c>
      <c r="R53" s="5">
        <v>2007</v>
      </c>
      <c r="S53" s="5">
        <v>-2302</v>
      </c>
      <c r="T53">
        <v>1623</v>
      </c>
      <c r="U53">
        <v>-1920</v>
      </c>
      <c r="V53" s="5">
        <v>10</v>
      </c>
      <c r="Y53" s="5">
        <v>0.6</v>
      </c>
      <c r="Z53" s="5"/>
      <c r="AA53" s="5">
        <v>5.8</v>
      </c>
      <c r="AB53" s="5">
        <v>4.11</v>
      </c>
      <c r="AC53" s="5">
        <v>3.1</v>
      </c>
      <c r="AD53" s="5">
        <v>2.38</v>
      </c>
      <c r="AE53">
        <v>1.89</v>
      </c>
      <c r="AF53">
        <v>1.6</v>
      </c>
      <c r="AG53">
        <v>1.38</v>
      </c>
      <c r="AH53">
        <v>1.22</v>
      </c>
      <c r="AI53">
        <v>1.1</v>
      </c>
      <c r="AJ53">
        <v>1.03</v>
      </c>
      <c r="AK53">
        <v>1</v>
      </c>
    </row>
    <row r="54" spans="11:37" ht="15">
      <c r="K54" s="5"/>
      <c r="L54" s="5">
        <v>2225</v>
      </c>
      <c r="M54" s="5">
        <v>-3352</v>
      </c>
      <c r="N54" s="5">
        <v>1980</v>
      </c>
      <c r="O54" s="5">
        <v>-2958</v>
      </c>
      <c r="P54" s="5">
        <v>1725</v>
      </c>
      <c r="Q54" s="5">
        <v>-2562</v>
      </c>
      <c r="R54" s="5">
        <v>1469</v>
      </c>
      <c r="S54" s="5">
        <v>-2181</v>
      </c>
      <c r="T54">
        <v>1218</v>
      </c>
      <c r="U54">
        <v>-1821</v>
      </c>
      <c r="V54" s="5">
        <v>10.2</v>
      </c>
      <c r="Y54" s="5">
        <v>0.8</v>
      </c>
      <c r="Z54" s="5"/>
      <c r="AA54" s="5">
        <v>5.8</v>
      </c>
      <c r="AB54" s="5">
        <v>4.17</v>
      </c>
      <c r="AC54" s="5">
        <v>3.2</v>
      </c>
      <c r="AD54" s="5">
        <v>2.44</v>
      </c>
      <c r="AE54">
        <v>1.92</v>
      </c>
      <c r="AF54">
        <v>1.64</v>
      </c>
      <c r="AG54">
        <v>1.42</v>
      </c>
      <c r="AH54">
        <v>1.23</v>
      </c>
      <c r="AI54">
        <v>1.1</v>
      </c>
      <c r="AJ54">
        <v>1.03</v>
      </c>
      <c r="AK54">
        <v>1</v>
      </c>
    </row>
    <row r="55" spans="11:37" ht="15">
      <c r="K55" s="5"/>
      <c r="L55" s="5">
        <v>1557</v>
      </c>
      <c r="M55" s="5">
        <v>-3002</v>
      </c>
      <c r="N55" s="5">
        <v>1409</v>
      </c>
      <c r="O55" s="5">
        <v>-2668</v>
      </c>
      <c r="P55" s="5">
        <v>1252</v>
      </c>
      <c r="Q55" s="5">
        <v>-2329</v>
      </c>
      <c r="R55" s="5">
        <v>1089</v>
      </c>
      <c r="S55" s="5">
        <v>-1996</v>
      </c>
      <c r="T55">
        <v>924.9</v>
      </c>
      <c r="U55">
        <v>-1679</v>
      </c>
      <c r="V55" s="5">
        <v>10.4</v>
      </c>
      <c r="Y55" s="5">
        <v>1</v>
      </c>
      <c r="Z55" s="5"/>
      <c r="AA55" s="5">
        <v>5.55</v>
      </c>
      <c r="AB55" s="5">
        <v>4.1</v>
      </c>
      <c r="AC55" s="5">
        <v>3.17</v>
      </c>
      <c r="AD55" s="5">
        <v>2.47</v>
      </c>
      <c r="AE55">
        <v>1.94</v>
      </c>
      <c r="AF55">
        <v>1.67</v>
      </c>
      <c r="AG55">
        <v>1.45</v>
      </c>
      <c r="AH55">
        <v>1.24</v>
      </c>
      <c r="AI55">
        <v>1.1</v>
      </c>
      <c r="AJ55">
        <v>1.03</v>
      </c>
      <c r="AK55">
        <v>1</v>
      </c>
    </row>
    <row r="56" spans="11:37" ht="15">
      <c r="K56" s="5"/>
      <c r="L56" s="5">
        <v>1123</v>
      </c>
      <c r="M56" s="5">
        <v>-2652</v>
      </c>
      <c r="N56" s="5">
        <v>1029</v>
      </c>
      <c r="O56" s="5">
        <v>-2373</v>
      </c>
      <c r="P56" s="5">
        <v>929</v>
      </c>
      <c r="Q56" s="5">
        <v>-2086</v>
      </c>
      <c r="R56" s="5">
        <v>823.4</v>
      </c>
      <c r="S56" s="5">
        <v>-1803</v>
      </c>
      <c r="T56">
        <v>713.1</v>
      </c>
      <c r="U56">
        <v>-1528</v>
      </c>
      <c r="V56" s="5">
        <v>10.6</v>
      </c>
      <c r="Y56" s="5">
        <v>2</v>
      </c>
      <c r="Z56" s="5"/>
      <c r="AA56" s="5">
        <v>4.1</v>
      </c>
      <c r="AB56" s="5">
        <v>3.36</v>
      </c>
      <c r="AC56" s="5">
        <v>2.74</v>
      </c>
      <c r="AD56" s="5">
        <v>2.32</v>
      </c>
      <c r="AE56">
        <v>1.98</v>
      </c>
      <c r="AF56">
        <v>1.74</v>
      </c>
      <c r="AG56">
        <v>1.5</v>
      </c>
      <c r="AH56">
        <v>1.28</v>
      </c>
      <c r="AI56">
        <v>1.13</v>
      </c>
      <c r="AJ56">
        <v>1.04</v>
      </c>
      <c r="AK56">
        <v>1</v>
      </c>
    </row>
    <row r="57" spans="11:37" ht="15">
      <c r="K57" s="5"/>
      <c r="L57" s="5">
        <v>833.8</v>
      </c>
      <c r="M57" s="5">
        <v>-2338</v>
      </c>
      <c r="N57" s="5">
        <v>771.6</v>
      </c>
      <c r="O57" s="5">
        <v>-2104</v>
      </c>
      <c r="P57" s="5">
        <v>705.5</v>
      </c>
      <c r="Q57" s="5">
        <v>-1862</v>
      </c>
      <c r="R57" s="5">
        <v>634.6</v>
      </c>
      <c r="S57" s="5">
        <v>-1620</v>
      </c>
      <c r="T57">
        <v>558.8</v>
      </c>
      <c r="U57">
        <v>-1384</v>
      </c>
      <c r="V57" s="5">
        <v>10.8</v>
      </c>
      <c r="Y57" s="5">
        <v>4</v>
      </c>
      <c r="Z57" s="5"/>
      <c r="AA57" s="5">
        <v>3.54</v>
      </c>
      <c r="AB57" s="5">
        <v>3.05</v>
      </c>
      <c r="AC57" s="5">
        <v>2.6</v>
      </c>
      <c r="AD57" s="5">
        <v>2.27</v>
      </c>
      <c r="AE57">
        <v>2.01</v>
      </c>
      <c r="AF57">
        <v>1.78</v>
      </c>
      <c r="AG57">
        <v>1.54</v>
      </c>
      <c r="AH57">
        <v>1.32</v>
      </c>
      <c r="AI57">
        <v>1.15</v>
      </c>
      <c r="AJ57">
        <v>1.04</v>
      </c>
      <c r="AK57">
        <v>1</v>
      </c>
    </row>
    <row r="58" spans="11:37" ht="15">
      <c r="K58" s="5"/>
      <c r="L58" s="5">
        <v>635.5</v>
      </c>
      <c r="M58" s="5">
        <v>-2067</v>
      </c>
      <c r="N58" s="5">
        <v>592.5</v>
      </c>
      <c r="O58" s="5">
        <v>-1868</v>
      </c>
      <c r="P58" s="5">
        <v>547.1</v>
      </c>
      <c r="Q58" s="5">
        <v>-1662</v>
      </c>
      <c r="R58" s="5">
        <v>498.1</v>
      </c>
      <c r="S58" s="5">
        <v>-1455</v>
      </c>
      <c r="T58">
        <v>444.8</v>
      </c>
      <c r="U58">
        <v>-1250</v>
      </c>
      <c r="V58" s="5">
        <v>11</v>
      </c>
      <c r="Y58" s="5">
        <v>6</v>
      </c>
      <c r="Z58" s="5"/>
      <c r="AA58" s="5">
        <v>3.31</v>
      </c>
      <c r="AB58" s="5">
        <v>2.92</v>
      </c>
      <c r="AC58" s="5">
        <v>2.6</v>
      </c>
      <c r="AD58" s="5">
        <v>2.29</v>
      </c>
      <c r="AE58">
        <v>2.03</v>
      </c>
      <c r="AF58">
        <v>1.8</v>
      </c>
      <c r="AG58">
        <v>1.56</v>
      </c>
      <c r="AH58">
        <v>1.34</v>
      </c>
      <c r="AI58">
        <v>1.16</v>
      </c>
      <c r="AJ58">
        <v>1.04</v>
      </c>
      <c r="AK58">
        <v>1</v>
      </c>
    </row>
    <row r="59" spans="11:37" ht="15">
      <c r="K59" s="5"/>
      <c r="L59" s="5">
        <v>495.4</v>
      </c>
      <c r="M59" s="5">
        <v>-1832</v>
      </c>
      <c r="N59" s="5">
        <v>464.4</v>
      </c>
      <c r="O59" s="5">
        <v>-1662</v>
      </c>
      <c r="P59" s="5">
        <v>432.4</v>
      </c>
      <c r="Q59" s="5">
        <v>-1485</v>
      </c>
      <c r="R59" s="5">
        <v>397.6</v>
      </c>
      <c r="S59" s="5">
        <v>-1307</v>
      </c>
      <c r="T59">
        <v>359.2</v>
      </c>
      <c r="U59">
        <v>-1129</v>
      </c>
      <c r="V59" s="5">
        <v>11.2</v>
      </c>
      <c r="Y59" s="5">
        <v>8</v>
      </c>
      <c r="Z59" s="5"/>
      <c r="AA59" s="5">
        <v>3.2</v>
      </c>
      <c r="AB59" s="5">
        <v>2.9</v>
      </c>
      <c r="AC59" s="5">
        <v>2.62</v>
      </c>
      <c r="AD59" s="5">
        <v>2.28</v>
      </c>
      <c r="AE59">
        <v>2.08</v>
      </c>
      <c r="AF59">
        <v>1.81</v>
      </c>
      <c r="AG59">
        <v>1.57</v>
      </c>
      <c r="AH59">
        <v>1.34</v>
      </c>
      <c r="AI59">
        <v>1.165</v>
      </c>
      <c r="AJ59">
        <v>1.04</v>
      </c>
      <c r="AK59">
        <v>1</v>
      </c>
    </row>
    <row r="60" spans="11:37" ht="15">
      <c r="K60" s="5"/>
      <c r="L60" s="5">
        <v>393.9</v>
      </c>
      <c r="M60" s="5">
        <v>-1630</v>
      </c>
      <c r="N60" s="5">
        <v>370.8</v>
      </c>
      <c r="O60" s="5">
        <v>-1482</v>
      </c>
      <c r="P60" s="5">
        <v>347.5</v>
      </c>
      <c r="Q60" s="5">
        <v>-1329</v>
      </c>
      <c r="R60" s="5">
        <v>322.2</v>
      </c>
      <c r="S60" s="5">
        <v>-1174</v>
      </c>
      <c r="T60">
        <v>294.1</v>
      </c>
      <c r="U60">
        <v>-1020</v>
      </c>
      <c r="V60" s="5">
        <v>11.4</v>
      </c>
      <c r="Y60" s="5">
        <v>10</v>
      </c>
      <c r="Z60" s="5"/>
      <c r="AA60" s="5">
        <v>3.23</v>
      </c>
      <c r="AB60" s="5">
        <v>2.93</v>
      </c>
      <c r="AC60" s="5">
        <v>2.65</v>
      </c>
      <c r="AD60" s="5">
        <v>2.32</v>
      </c>
      <c r="AE60">
        <v>2.1</v>
      </c>
      <c r="AF60">
        <v>1.83</v>
      </c>
      <c r="AG60">
        <v>1.58</v>
      </c>
      <c r="AH60">
        <v>1.35</v>
      </c>
      <c r="AI60">
        <v>1.17</v>
      </c>
      <c r="AJ60">
        <v>1.04</v>
      </c>
      <c r="AK60">
        <v>1</v>
      </c>
    </row>
    <row r="61" spans="12:37" ht="15">
      <c r="L61" s="5">
        <v>318.7</v>
      </c>
      <c r="M61" s="5">
        <v>-1452</v>
      </c>
      <c r="N61" s="5">
        <v>301</v>
      </c>
      <c r="O61" s="5">
        <v>-1324</v>
      </c>
      <c r="P61" s="5">
        <v>283.6</v>
      </c>
      <c r="Q61" s="5">
        <v>-1191</v>
      </c>
      <c r="R61" s="5">
        <v>264.9</v>
      </c>
      <c r="S61" s="5">
        <v>-1056</v>
      </c>
      <c r="T61">
        <v>243.9</v>
      </c>
      <c r="U61">
        <v>-920.4</v>
      </c>
      <c r="V61" s="5">
        <v>11.6</v>
      </c>
      <c r="Y61" s="5">
        <v>25</v>
      </c>
      <c r="Z61" s="5"/>
      <c r="AA61" s="5">
        <v>3.41</v>
      </c>
      <c r="AB61" s="5">
        <v>3.11</v>
      </c>
      <c r="AC61" s="5">
        <v>2.815</v>
      </c>
      <c r="AD61" s="5">
        <v>2.51</v>
      </c>
      <c r="AE61">
        <v>2.22</v>
      </c>
      <c r="AF61">
        <v>1.93</v>
      </c>
      <c r="AG61">
        <v>1.65</v>
      </c>
      <c r="AH61">
        <v>1.395</v>
      </c>
      <c r="AI61">
        <v>1.19</v>
      </c>
      <c r="AJ61">
        <v>1.05</v>
      </c>
      <c r="AK61">
        <v>1</v>
      </c>
    </row>
    <row r="62" spans="12:30" ht="15">
      <c r="L62" s="5">
        <v>262.1</v>
      </c>
      <c r="M62" s="5">
        <v>-1296</v>
      </c>
      <c r="N62" s="5">
        <v>248.2</v>
      </c>
      <c r="O62" s="5">
        <v>-1184</v>
      </c>
      <c r="P62" s="5">
        <v>234.9</v>
      </c>
      <c r="Q62" s="5">
        <v>-1068</v>
      </c>
      <c r="R62" s="5">
        <v>220.8</v>
      </c>
      <c r="S62" s="5">
        <v>-949.1</v>
      </c>
      <c r="T62">
        <v>204.9</v>
      </c>
      <c r="U62">
        <v>-829.9</v>
      </c>
      <c r="V62" s="5">
        <v>11.8</v>
      </c>
      <c r="Y62" s="5"/>
      <c r="Z62" s="5"/>
      <c r="AA62" s="5"/>
      <c r="AB62" s="5"/>
      <c r="AC62" s="5"/>
      <c r="AD62" s="5"/>
    </row>
    <row r="63" spans="12:30" ht="15">
      <c r="L63" s="5">
        <v>219</v>
      </c>
      <c r="M63" s="5">
        <v>-1157</v>
      </c>
      <c r="N63" s="5">
        <v>207.7</v>
      </c>
      <c r="O63" s="5">
        <v>-1058</v>
      </c>
      <c r="P63" s="5">
        <v>197.4</v>
      </c>
      <c r="Q63" s="5">
        <v>-956.1</v>
      </c>
      <c r="R63" s="5">
        <v>186.5</v>
      </c>
      <c r="S63" s="5">
        <v>-852</v>
      </c>
      <c r="T63">
        <v>174.3</v>
      </c>
      <c r="U63">
        <v>-747</v>
      </c>
      <c r="V63" s="5">
        <v>12</v>
      </c>
      <c r="Y63" s="5"/>
      <c r="Z63" s="5"/>
      <c r="AA63" s="5"/>
      <c r="AB63" s="5"/>
      <c r="AC63" s="5"/>
      <c r="AD63" s="5"/>
    </row>
    <row r="64" spans="12:30" ht="15">
      <c r="L64" s="5">
        <v>185.8</v>
      </c>
      <c r="M64" s="5">
        <v>-1031</v>
      </c>
      <c r="N64" s="5">
        <v>176.5</v>
      </c>
      <c r="O64" s="5">
        <v>-944.4</v>
      </c>
      <c r="P64" s="5">
        <v>168.3</v>
      </c>
      <c r="Q64" s="5">
        <v>-854.6</v>
      </c>
      <c r="R64" s="5">
        <v>159.8</v>
      </c>
      <c r="S64" s="5">
        <v>-763</v>
      </c>
      <c r="T64">
        <v>150.4</v>
      </c>
      <c r="U64">
        <v>-670.4</v>
      </c>
      <c r="V64" s="5">
        <v>12.2</v>
      </c>
      <c r="Y64" s="5"/>
      <c r="Z64" s="5"/>
      <c r="AA64" s="5"/>
      <c r="AB64" s="5"/>
      <c r="AC64" s="5"/>
      <c r="AD64" s="5"/>
    </row>
    <row r="65" spans="12:30" ht="15">
      <c r="L65" s="5">
        <v>160.2</v>
      </c>
      <c r="M65" s="5">
        <v>-915.8</v>
      </c>
      <c r="N65" s="5">
        <v>152.3</v>
      </c>
      <c r="O65" s="5">
        <v>-840.2</v>
      </c>
      <c r="P65" s="5">
        <v>145.7</v>
      </c>
      <c r="Q65" s="5">
        <v>-761.4</v>
      </c>
      <c r="R65" s="5">
        <v>139</v>
      </c>
      <c r="S65" s="5">
        <v>-680.8</v>
      </c>
      <c r="T65">
        <v>131.6</v>
      </c>
      <c r="U65">
        <v>-599.2</v>
      </c>
      <c r="V65" s="5">
        <v>12.4</v>
      </c>
      <c r="Y65" s="5"/>
      <c r="Z65" s="5"/>
      <c r="AA65" s="5"/>
      <c r="AB65" s="5"/>
      <c r="AC65" s="5"/>
      <c r="AD65" s="5"/>
    </row>
    <row r="66" spans="12:30" ht="15">
      <c r="L66" s="5">
        <v>140.5</v>
      </c>
      <c r="M66" s="5">
        <v>-810.3</v>
      </c>
      <c r="N66" s="5">
        <v>133.7</v>
      </c>
      <c r="O66" s="5">
        <v>-744.1</v>
      </c>
      <c r="P66" s="5">
        <v>128.2</v>
      </c>
      <c r="Q66" s="5">
        <v>-675</v>
      </c>
      <c r="R66" s="5">
        <v>122.9</v>
      </c>
      <c r="S66" s="5">
        <v>-604.2</v>
      </c>
      <c r="T66">
        <v>117</v>
      </c>
      <c r="U66">
        <v>-532.5</v>
      </c>
      <c r="V66" s="5">
        <v>12.6</v>
      </c>
      <c r="Y66" s="5"/>
      <c r="Z66" s="5"/>
      <c r="AA66" s="5"/>
      <c r="AB66" s="5"/>
      <c r="AC66" s="5"/>
      <c r="AD66" s="5"/>
    </row>
    <row r="67" spans="12:30" ht="15">
      <c r="L67" s="5">
        <v>125.4</v>
      </c>
      <c r="M67" s="5">
        <v>-712.2</v>
      </c>
      <c r="N67" s="5">
        <v>119.4</v>
      </c>
      <c r="O67" s="5">
        <v>-654.6</v>
      </c>
      <c r="P67" s="5">
        <v>114.8</v>
      </c>
      <c r="Q67" s="5">
        <v>-594.3</v>
      </c>
      <c r="R67" s="5">
        <v>110.5</v>
      </c>
      <c r="S67" s="5">
        <v>-532.4</v>
      </c>
      <c r="T67">
        <v>105.9</v>
      </c>
      <c r="U67">
        <v>-469.6</v>
      </c>
      <c r="V67" s="5">
        <v>12.8</v>
      </c>
      <c r="Y67" s="5"/>
      <c r="Z67" s="5"/>
      <c r="AA67" s="5"/>
      <c r="AB67" s="5"/>
      <c r="AC67" s="5"/>
      <c r="AD67" s="5"/>
    </row>
    <row r="68" spans="12:30" ht="15">
      <c r="L68" s="5">
        <v>114.2</v>
      </c>
      <c r="M68" s="5">
        <v>-620.3</v>
      </c>
      <c r="N68" s="5">
        <v>108.8</v>
      </c>
      <c r="O68" s="5">
        <v>-570.5</v>
      </c>
      <c r="P68" s="5">
        <v>104.9</v>
      </c>
      <c r="Q68" s="5">
        <v>-518.2</v>
      </c>
      <c r="R68" s="5">
        <v>101.4</v>
      </c>
      <c r="S68" s="5">
        <v>-464.4</v>
      </c>
      <c r="T68">
        <v>97.75</v>
      </c>
      <c r="U68">
        <v>-409.8</v>
      </c>
      <c r="V68" s="5">
        <v>13</v>
      </c>
      <c r="Y68" s="5"/>
      <c r="Z68" s="5"/>
      <c r="AA68" s="5"/>
      <c r="AB68" s="5"/>
      <c r="AC68" s="5"/>
      <c r="AD68" s="5"/>
    </row>
    <row r="69" spans="12:30" ht="15">
      <c r="L69" s="5">
        <v>106.1</v>
      </c>
      <c r="M69" s="5">
        <v>-533.4</v>
      </c>
      <c r="N69" s="5">
        <v>101.2</v>
      </c>
      <c r="O69" s="5">
        <v>-490.8</v>
      </c>
      <c r="P69" s="5">
        <v>97.83</v>
      </c>
      <c r="Q69" s="5">
        <v>-445.9</v>
      </c>
      <c r="R69" s="5">
        <v>94.96</v>
      </c>
      <c r="S69" s="5">
        <v>-399.6</v>
      </c>
      <c r="T69">
        <v>92.07</v>
      </c>
      <c r="U69">
        <v>-352.5</v>
      </c>
      <c r="V69" s="5">
        <v>13.2</v>
      </c>
      <c r="Y69" s="5"/>
      <c r="Z69" s="5"/>
      <c r="AA69" s="5"/>
      <c r="AB69" s="5"/>
      <c r="AC69" s="5"/>
      <c r="AD69" s="5"/>
    </row>
    <row r="70" spans="12:30" ht="15">
      <c r="L70" s="5">
        <v>100.8</v>
      </c>
      <c r="M70" s="5">
        <v>-450.5</v>
      </c>
      <c r="N70" s="5">
        <v>96.21</v>
      </c>
      <c r="O70" s="5">
        <v>-414.8</v>
      </c>
      <c r="P70" s="5">
        <v>93.25</v>
      </c>
      <c r="Q70" s="5">
        <v>-376.8</v>
      </c>
      <c r="R70" s="5">
        <v>90.9</v>
      </c>
      <c r="S70" s="5">
        <v>-337.5</v>
      </c>
      <c r="T70">
        <v>88.63</v>
      </c>
      <c r="U70">
        <v>-297.4</v>
      </c>
      <c r="V70" s="5">
        <v>13.4</v>
      </c>
      <c r="Y70" s="5"/>
      <c r="Z70" s="5"/>
      <c r="AA70" s="5"/>
      <c r="AB70" s="5"/>
      <c r="AC70" s="5"/>
      <c r="AD70" s="5"/>
    </row>
    <row r="71" spans="12:30" ht="15">
      <c r="L71" s="5">
        <v>97.81</v>
      </c>
      <c r="M71" s="5">
        <v>-370.9</v>
      </c>
      <c r="N71" s="5">
        <v>93.5</v>
      </c>
      <c r="O71" s="5">
        <v>-341.6</v>
      </c>
      <c r="P71" s="5">
        <v>90.89</v>
      </c>
      <c r="Q71" s="5">
        <v>-310</v>
      </c>
      <c r="R71" s="5">
        <v>88.95</v>
      </c>
      <c r="S71" s="5">
        <v>-277.3</v>
      </c>
      <c r="T71">
        <v>87.22</v>
      </c>
      <c r="U71">
        <v>-243.8</v>
      </c>
      <c r="V71" s="5">
        <v>13.6</v>
      </c>
      <c r="Y71" s="5"/>
      <c r="Z71" s="5"/>
      <c r="AA71" s="5"/>
      <c r="AB71" s="5"/>
      <c r="AC71" s="5"/>
      <c r="AD71" s="5"/>
    </row>
    <row r="72" spans="12:30" ht="15">
      <c r="L72" s="5">
        <v>96.99</v>
      </c>
      <c r="M72" s="5">
        <v>-293.9</v>
      </c>
      <c r="N72" s="5">
        <v>92.89</v>
      </c>
      <c r="O72" s="5">
        <v>-270.6</v>
      </c>
      <c r="P72" s="5">
        <v>90.55</v>
      </c>
      <c r="Q72" s="5">
        <v>-245.3</v>
      </c>
      <c r="R72" s="5">
        <v>88.99</v>
      </c>
      <c r="S72" s="5">
        <v>-218.7</v>
      </c>
      <c r="T72">
        <v>87.72</v>
      </c>
      <c r="U72">
        <v>-191.5</v>
      </c>
      <c r="V72" s="5">
        <v>13.8</v>
      </c>
      <c r="Y72" s="5"/>
      <c r="Z72" s="5"/>
      <c r="AA72" s="5"/>
      <c r="AB72" s="5"/>
      <c r="AC72" s="5"/>
      <c r="AD72" s="5"/>
    </row>
    <row r="73" spans="12:30" ht="15">
      <c r="L73" s="5">
        <v>98.18</v>
      </c>
      <c r="M73" s="5">
        <v>-218.8</v>
      </c>
      <c r="N73" s="5">
        <v>94.24</v>
      </c>
      <c r="O73" s="5">
        <v>-201.3</v>
      </c>
      <c r="P73" s="5">
        <v>92.14</v>
      </c>
      <c r="Q73" s="5">
        <v>-181.9</v>
      </c>
      <c r="R73" s="5">
        <v>90.9</v>
      </c>
      <c r="S73" s="5">
        <v>-161.3</v>
      </c>
      <c r="T73">
        <v>90.06</v>
      </c>
      <c r="U73">
        <v>-140</v>
      </c>
      <c r="V73" s="5">
        <v>14</v>
      </c>
      <c r="Y73" s="5"/>
      <c r="Z73" s="5"/>
      <c r="AA73" s="5"/>
      <c r="AB73" s="5"/>
      <c r="AC73" s="5"/>
      <c r="AD73" s="5"/>
    </row>
    <row r="74" spans="12:30" ht="15">
      <c r="L74" s="5">
        <v>101.3</v>
      </c>
      <c r="M74" s="5">
        <v>-144.9</v>
      </c>
      <c r="N74" s="5">
        <v>97.48</v>
      </c>
      <c r="O74" s="5">
        <v>-133.2</v>
      </c>
      <c r="P74" s="5">
        <v>95.59</v>
      </c>
      <c r="Q74" s="5">
        <v>-119.5</v>
      </c>
      <c r="R74" s="5">
        <v>94.66</v>
      </c>
      <c r="S74" s="5">
        <v>-104.6</v>
      </c>
      <c r="T74">
        <v>94.23</v>
      </c>
      <c r="U74">
        <v>-89.15</v>
      </c>
      <c r="V74" s="5">
        <v>14.2</v>
      </c>
      <c r="Y74" s="5"/>
      <c r="Z74" s="5"/>
      <c r="AA74" s="5"/>
      <c r="AB74" s="5"/>
      <c r="AC74" s="5"/>
      <c r="AD74" s="5"/>
    </row>
    <row r="75" spans="12:30" ht="15">
      <c r="L75" s="5">
        <v>106.3</v>
      </c>
      <c r="M75" s="5">
        <v>-71.88</v>
      </c>
      <c r="N75" s="5">
        <v>102.6</v>
      </c>
      <c r="O75" s="5">
        <v>-65.7</v>
      </c>
      <c r="P75" s="5">
        <v>100.9</v>
      </c>
      <c r="Q75" s="5">
        <v>-57.55</v>
      </c>
      <c r="R75" s="5">
        <v>100.3</v>
      </c>
      <c r="S75" s="5">
        <v>-48.34</v>
      </c>
      <c r="T75">
        <v>100.3</v>
      </c>
      <c r="U75">
        <v>-38.49</v>
      </c>
      <c r="V75" s="5">
        <v>14.4</v>
      </c>
      <c r="Y75" s="5"/>
      <c r="Z75" s="5"/>
      <c r="AA75" s="5"/>
      <c r="AB75" s="5"/>
      <c r="AC75" s="5"/>
      <c r="AD75" s="5"/>
    </row>
    <row r="76" spans="12:30" ht="15">
      <c r="L76" s="5">
        <v>113.4</v>
      </c>
      <c r="M76" s="5">
        <v>0.9322</v>
      </c>
      <c r="N76" s="5">
        <v>109.7</v>
      </c>
      <c r="O76" s="5">
        <v>1.632</v>
      </c>
      <c r="P76" s="5">
        <v>108.2</v>
      </c>
      <c r="Q76" s="5">
        <v>4.274</v>
      </c>
      <c r="R76" s="5">
        <v>107.9</v>
      </c>
      <c r="S76" s="5">
        <v>7.967</v>
      </c>
      <c r="T76">
        <v>108.3</v>
      </c>
      <c r="U76">
        <v>12.28</v>
      </c>
      <c r="V76" s="5">
        <v>14.6</v>
      </c>
      <c r="Y76" s="5"/>
      <c r="Z76" s="5"/>
      <c r="AA76" s="5"/>
      <c r="AB76" s="5"/>
      <c r="AC76" s="5"/>
      <c r="AD76" s="5"/>
    </row>
    <row r="77" spans="12:30" ht="15">
      <c r="L77" s="5">
        <v>122.4</v>
      </c>
      <c r="M77" s="5">
        <v>73.95</v>
      </c>
      <c r="N77" s="5">
        <v>118.8</v>
      </c>
      <c r="O77" s="5">
        <v>69.2</v>
      </c>
      <c r="P77" s="5">
        <v>117.5</v>
      </c>
      <c r="Q77" s="5">
        <v>66.4</v>
      </c>
      <c r="R77" s="5">
        <v>117.6</v>
      </c>
      <c r="S77" s="5">
        <v>64.62</v>
      </c>
      <c r="T77">
        <v>118.5</v>
      </c>
      <c r="U77">
        <v>63.41</v>
      </c>
      <c r="V77" s="5">
        <v>14.8</v>
      </c>
      <c r="Y77" s="5"/>
      <c r="Z77" s="5"/>
      <c r="AA77" s="5"/>
      <c r="AB77" s="5"/>
      <c r="AC77" s="5"/>
      <c r="AD77" s="5"/>
    </row>
    <row r="78" spans="12:30" ht="15">
      <c r="L78" s="5">
        <v>133.8</v>
      </c>
      <c r="M78" s="5">
        <v>147.8</v>
      </c>
      <c r="N78" s="5">
        <v>130.2</v>
      </c>
      <c r="O78" s="5">
        <v>137.6</v>
      </c>
      <c r="P78" s="5">
        <v>129.1</v>
      </c>
      <c r="Q78" s="5">
        <v>129.3</v>
      </c>
      <c r="R78" s="5">
        <v>129.5</v>
      </c>
      <c r="S78" s="5">
        <v>122</v>
      </c>
      <c r="T78">
        <v>131</v>
      </c>
      <c r="U78">
        <v>115.2</v>
      </c>
      <c r="V78" s="5">
        <v>15</v>
      </c>
      <c r="Y78" s="5"/>
      <c r="Z78" s="5"/>
      <c r="AA78" s="5"/>
      <c r="AB78" s="5"/>
      <c r="AC78" s="5"/>
      <c r="AD78" s="5"/>
    </row>
    <row r="79" spans="12:30" ht="15">
      <c r="L79" s="5">
        <v>147.6</v>
      </c>
      <c r="M79" s="5">
        <v>222.9</v>
      </c>
      <c r="N79" s="5">
        <v>144</v>
      </c>
      <c r="O79" s="5">
        <v>207.1</v>
      </c>
      <c r="P79" s="5">
        <v>143.3</v>
      </c>
      <c r="Q79" s="5">
        <v>193.3</v>
      </c>
      <c r="R79" s="5">
        <v>144.1</v>
      </c>
      <c r="S79" s="5">
        <v>180.4</v>
      </c>
      <c r="T79">
        <v>146.2</v>
      </c>
      <c r="U79">
        <v>168.1</v>
      </c>
      <c r="V79" s="5">
        <v>15.2</v>
      </c>
      <c r="Y79" s="5"/>
      <c r="Z79" s="5"/>
      <c r="AA79" s="5"/>
      <c r="AB79" s="5"/>
      <c r="AC79" s="5"/>
      <c r="AD79" s="5"/>
    </row>
    <row r="80" spans="12:30" ht="15">
      <c r="L80" s="5">
        <v>164.2</v>
      </c>
      <c r="M80" s="5">
        <v>299.9</v>
      </c>
      <c r="N80" s="5">
        <v>160.7</v>
      </c>
      <c r="O80" s="5">
        <v>278.4</v>
      </c>
      <c r="P80" s="5">
        <v>160.2</v>
      </c>
      <c r="Q80" s="5">
        <v>258.9</v>
      </c>
      <c r="R80" s="5">
        <v>161.6</v>
      </c>
      <c r="S80" s="5">
        <v>240.3</v>
      </c>
      <c r="T80">
        <v>164.4</v>
      </c>
      <c r="U80">
        <v>222.2</v>
      </c>
      <c r="V80" s="5">
        <v>15.4</v>
      </c>
      <c r="Y80" s="5"/>
      <c r="Z80" s="5"/>
      <c r="AA80" s="5"/>
      <c r="AB80" s="5"/>
      <c r="AC80" s="5"/>
      <c r="AD80" s="5"/>
    </row>
    <row r="81" spans="12:30" ht="15">
      <c r="L81" s="5">
        <v>184</v>
      </c>
      <c r="M81" s="5">
        <v>379.3</v>
      </c>
      <c r="N81" s="5">
        <v>180.6</v>
      </c>
      <c r="O81" s="5">
        <v>352</v>
      </c>
      <c r="P81" s="5">
        <v>180.5</v>
      </c>
      <c r="Q81" s="5">
        <v>326.6</v>
      </c>
      <c r="R81" s="5">
        <v>182.5</v>
      </c>
      <c r="S81" s="5">
        <v>302.1</v>
      </c>
      <c r="T81">
        <v>186.2</v>
      </c>
      <c r="U81">
        <v>277.9</v>
      </c>
      <c r="V81" s="5">
        <v>15.6</v>
      </c>
      <c r="Y81" s="5"/>
      <c r="Z81" s="5"/>
      <c r="AA81" s="5"/>
      <c r="AB81" s="5"/>
      <c r="AC81" s="5"/>
      <c r="AD81" s="5"/>
    </row>
    <row r="82" spans="12:30" ht="15">
      <c r="L82" s="5">
        <v>207.7</v>
      </c>
      <c r="M82" s="5">
        <v>461.8</v>
      </c>
      <c r="N82" s="5">
        <v>204.4</v>
      </c>
      <c r="O82" s="5">
        <v>428.3</v>
      </c>
      <c r="P82" s="5">
        <v>204.7</v>
      </c>
      <c r="Q82" s="5">
        <v>396.8</v>
      </c>
      <c r="R82" s="5">
        <v>207.4</v>
      </c>
      <c r="S82" s="5">
        <v>366.1</v>
      </c>
      <c r="T82">
        <v>212.3</v>
      </c>
      <c r="U82">
        <v>335.6</v>
      </c>
      <c r="V82" s="5">
        <v>15.8</v>
      </c>
      <c r="Y82" s="5"/>
      <c r="Z82" s="5"/>
      <c r="AA82" s="5"/>
      <c r="AB82" s="5"/>
      <c r="AC82" s="5"/>
      <c r="AD82" s="5"/>
    </row>
    <row r="83" spans="12:30" ht="15">
      <c r="L83" s="5">
        <v>236</v>
      </c>
      <c r="M83" s="5">
        <v>548.2</v>
      </c>
      <c r="N83" s="5">
        <v>232.7</v>
      </c>
      <c r="O83" s="5">
        <v>508.2</v>
      </c>
      <c r="P83" s="5">
        <v>233.6</v>
      </c>
      <c r="Q83" s="5">
        <v>470.2</v>
      </c>
      <c r="R83" s="5">
        <v>237.2</v>
      </c>
      <c r="S83" s="5">
        <v>432.9</v>
      </c>
      <c r="T83">
        <v>243.3</v>
      </c>
      <c r="U83">
        <v>395.4</v>
      </c>
      <c r="V83" s="5">
        <v>16</v>
      </c>
      <c r="Y83" s="5"/>
      <c r="Z83" s="5"/>
      <c r="AA83" s="5"/>
      <c r="AB83" s="5"/>
      <c r="AC83" s="5"/>
      <c r="AD83" s="5"/>
    </row>
    <row r="84" spans="12:30" ht="15">
      <c r="L84" s="5">
        <v>269.8</v>
      </c>
      <c r="M84" s="5">
        <v>639.1</v>
      </c>
      <c r="N84" s="5">
        <v>266.6</v>
      </c>
      <c r="O84" s="5">
        <v>592.3</v>
      </c>
      <c r="P84" s="5">
        <v>268.1</v>
      </c>
      <c r="Q84" s="5">
        <v>547.2</v>
      </c>
      <c r="R84" s="5">
        <v>272.9</v>
      </c>
      <c r="S84" s="5">
        <v>502.7</v>
      </c>
      <c r="T84">
        <v>280.5</v>
      </c>
      <c r="U84">
        <v>457.7</v>
      </c>
      <c r="V84" s="5">
        <v>16.2</v>
      </c>
      <c r="Y84" s="5"/>
      <c r="Z84" s="5"/>
      <c r="AA84" s="5"/>
      <c r="AB84" s="5"/>
      <c r="AC84" s="5"/>
      <c r="AD84" s="5"/>
    </row>
    <row r="85" spans="12:30" ht="15">
      <c r="L85" s="5">
        <v>310.4</v>
      </c>
      <c r="M85" s="5">
        <v>735.7</v>
      </c>
      <c r="N85" s="5">
        <v>307.4</v>
      </c>
      <c r="O85" s="5">
        <v>681.3</v>
      </c>
      <c r="P85" s="5">
        <v>309.7</v>
      </c>
      <c r="Q85" s="5">
        <v>628.6</v>
      </c>
      <c r="R85" s="5">
        <v>315.8</v>
      </c>
      <c r="S85" s="5">
        <v>576.1</v>
      </c>
      <c r="T85">
        <v>325.3</v>
      </c>
      <c r="U85">
        <v>522.7</v>
      </c>
      <c r="V85" s="5">
        <v>16.4</v>
      </c>
      <c r="Y85" s="5"/>
      <c r="Z85" s="5"/>
      <c r="AA85" s="5"/>
      <c r="AB85" s="5"/>
      <c r="AC85" s="5"/>
      <c r="AD85" s="5"/>
    </row>
    <row r="86" spans="12:30" ht="15">
      <c r="L86" s="5">
        <v>359.6</v>
      </c>
      <c r="M86" s="5">
        <v>838.8</v>
      </c>
      <c r="N86" s="5">
        <v>356.8</v>
      </c>
      <c r="O86" s="5">
        <v>776.1</v>
      </c>
      <c r="P86" s="5">
        <v>360</v>
      </c>
      <c r="Q86" s="5">
        <v>714.9</v>
      </c>
      <c r="R86" s="5">
        <v>367.7</v>
      </c>
      <c r="S86" s="5">
        <v>653.5</v>
      </c>
      <c r="T86">
        <v>379.4</v>
      </c>
      <c r="U86">
        <v>590.3</v>
      </c>
      <c r="V86" s="5">
        <v>16.6</v>
      </c>
      <c r="Y86" s="5"/>
      <c r="Z86" s="5"/>
      <c r="AA86" s="5"/>
      <c r="AB86" s="5"/>
      <c r="AC86" s="5"/>
      <c r="AD86" s="5"/>
    </row>
    <row r="87" spans="12:30" ht="15">
      <c r="L87" s="5">
        <v>419.7</v>
      </c>
      <c r="M87" s="5">
        <v>949.6</v>
      </c>
      <c r="N87" s="5">
        <v>417.1</v>
      </c>
      <c r="O87" s="5">
        <v>877.6</v>
      </c>
      <c r="P87" s="5">
        <v>421.5</v>
      </c>
      <c r="Q87" s="5">
        <v>806.8</v>
      </c>
      <c r="R87" s="5">
        <v>430.9</v>
      </c>
      <c r="S87" s="5">
        <v>734.9</v>
      </c>
      <c r="T87">
        <v>445.1</v>
      </c>
      <c r="U87">
        <v>660.4</v>
      </c>
      <c r="V87" s="5">
        <v>16.8</v>
      </c>
      <c r="Y87" s="5"/>
      <c r="Z87" s="5"/>
      <c r="AA87" s="5"/>
      <c r="AB87" s="5"/>
      <c r="AC87" s="5"/>
      <c r="AD87" s="5"/>
    </row>
    <row r="88" spans="12:30" ht="15">
      <c r="L88" s="5">
        <v>493.8</v>
      </c>
      <c r="M88" s="5">
        <v>1069</v>
      </c>
      <c r="N88" s="5">
        <v>491.4</v>
      </c>
      <c r="O88" s="5">
        <v>986.7</v>
      </c>
      <c r="P88" s="5">
        <v>497.1</v>
      </c>
      <c r="Q88" s="5">
        <v>904.5</v>
      </c>
      <c r="R88" s="5">
        <v>508.7</v>
      </c>
      <c r="S88" s="5">
        <v>820.5</v>
      </c>
      <c r="T88">
        <v>525.6</v>
      </c>
      <c r="U88">
        <v>732.1</v>
      </c>
      <c r="V88" s="5">
        <v>17</v>
      </c>
      <c r="Y88" s="5"/>
      <c r="Z88" s="5"/>
      <c r="AA88" s="5"/>
      <c r="AB88" s="5"/>
      <c r="AC88" s="5"/>
      <c r="AD88" s="5"/>
    </row>
    <row r="89" spans="12:30" ht="15">
      <c r="L89" s="5">
        <v>586.4</v>
      </c>
      <c r="M89" s="5">
        <v>1199</v>
      </c>
      <c r="N89" s="5">
        <v>584</v>
      </c>
      <c r="O89" s="5">
        <v>1104</v>
      </c>
      <c r="P89" s="5">
        <v>591.2</v>
      </c>
      <c r="Q89" s="5">
        <v>1008</v>
      </c>
      <c r="R89" s="5">
        <v>605</v>
      </c>
      <c r="S89" s="5">
        <v>909.4</v>
      </c>
      <c r="T89">
        <v>624.6</v>
      </c>
      <c r="U89">
        <v>803.9</v>
      </c>
      <c r="V89" s="5">
        <v>17.2</v>
      </c>
      <c r="Y89" s="5"/>
      <c r="Z89" s="5"/>
      <c r="AA89" s="5"/>
      <c r="AB89" s="5"/>
      <c r="AC89" s="5"/>
      <c r="AD89" s="5"/>
    </row>
    <row r="90" spans="12:30" ht="15">
      <c r="L90" s="5">
        <v>703.5</v>
      </c>
      <c r="M90" s="5">
        <v>1340</v>
      </c>
      <c r="N90" s="5">
        <v>701</v>
      </c>
      <c r="O90" s="5">
        <v>1230</v>
      </c>
      <c r="P90" s="5">
        <v>709.5</v>
      </c>
      <c r="Q90" s="5">
        <v>1118</v>
      </c>
      <c r="R90" s="5">
        <v>725.4</v>
      </c>
      <c r="S90" s="5">
        <v>1000</v>
      </c>
      <c r="T90">
        <v>746.9</v>
      </c>
      <c r="U90">
        <v>872.8</v>
      </c>
      <c r="V90" s="5">
        <v>17.4</v>
      </c>
      <c r="Y90" s="5"/>
      <c r="Z90" s="5"/>
      <c r="AA90" s="5"/>
      <c r="AB90" s="5"/>
      <c r="AC90" s="5"/>
      <c r="AD90" s="5"/>
    </row>
    <row r="91" spans="12:30" ht="15">
      <c r="L91" s="5">
        <v>853.9</v>
      </c>
      <c r="M91" s="5">
        <v>1492</v>
      </c>
      <c r="N91" s="5">
        <v>850.5</v>
      </c>
      <c r="O91" s="5">
        <v>1363</v>
      </c>
      <c r="P91" s="5">
        <v>859.8</v>
      </c>
      <c r="Q91" s="5">
        <v>1230</v>
      </c>
      <c r="R91" s="5">
        <v>876.8</v>
      </c>
      <c r="S91" s="5">
        <v>1088</v>
      </c>
      <c r="T91">
        <v>898.2</v>
      </c>
      <c r="U91">
        <v>933.1</v>
      </c>
      <c r="V91" s="5">
        <v>17.6</v>
      </c>
      <c r="Y91" s="5"/>
      <c r="Z91" s="5"/>
      <c r="AA91" s="5"/>
      <c r="AB91" s="5"/>
      <c r="AC91" s="5"/>
      <c r="AD91" s="5"/>
    </row>
    <row r="92" spans="12:30" ht="15">
      <c r="L92" s="5">
        <v>1050</v>
      </c>
      <c r="M92" s="5">
        <v>1653</v>
      </c>
      <c r="N92" s="5">
        <v>1044</v>
      </c>
      <c r="O92" s="5">
        <v>1501</v>
      </c>
      <c r="P92" s="5">
        <v>1053</v>
      </c>
      <c r="Q92" s="5">
        <v>1340</v>
      </c>
      <c r="R92" s="5">
        <v>1068</v>
      </c>
      <c r="S92" s="5">
        <v>1168</v>
      </c>
      <c r="T92">
        <v>1084</v>
      </c>
      <c r="U92">
        <v>975.5</v>
      </c>
      <c r="V92" s="5">
        <v>17.8</v>
      </c>
      <c r="Y92" s="5"/>
      <c r="Z92" s="5"/>
      <c r="AA92" s="5"/>
      <c r="AB92" s="5"/>
      <c r="AC92" s="5"/>
      <c r="AD92" s="5"/>
    </row>
    <row r="93" spans="12:30" ht="15">
      <c r="L93" s="5">
        <v>1309</v>
      </c>
      <c r="M93" s="5">
        <v>1817</v>
      </c>
      <c r="N93" s="5">
        <v>1298</v>
      </c>
      <c r="O93" s="5">
        <v>1634</v>
      </c>
      <c r="P93" s="5">
        <v>1301</v>
      </c>
      <c r="Q93" s="5">
        <v>1438</v>
      </c>
      <c r="R93" s="5">
        <v>1308</v>
      </c>
      <c r="S93" s="5">
        <v>1224</v>
      </c>
      <c r="T93">
        <v>1310</v>
      </c>
      <c r="U93">
        <v>984.6</v>
      </c>
      <c r="V93" s="5">
        <v>18</v>
      </c>
      <c r="Y93" s="5"/>
      <c r="Z93" s="5"/>
      <c r="AA93" s="5"/>
      <c r="AB93" s="5"/>
      <c r="AC93" s="5"/>
      <c r="AD93" s="5"/>
    </row>
    <row r="94" spans="12:30" ht="15">
      <c r="L94" s="5">
        <v>1655</v>
      </c>
      <c r="M94" s="5">
        <v>1970</v>
      </c>
      <c r="N94" s="5">
        <v>1631</v>
      </c>
      <c r="O94" s="5">
        <v>1747</v>
      </c>
      <c r="P94" s="5">
        <v>1620</v>
      </c>
      <c r="Q94" s="5">
        <v>1503</v>
      </c>
      <c r="R94" s="5">
        <v>1605</v>
      </c>
      <c r="S94" s="5">
        <v>1234</v>
      </c>
      <c r="T94">
        <v>1572</v>
      </c>
      <c r="U94">
        <v>937.9</v>
      </c>
      <c r="V94" s="5">
        <v>18.2</v>
      </c>
      <c r="Y94" s="5"/>
      <c r="Z94" s="5"/>
      <c r="AA94" s="5"/>
      <c r="AB94" s="5"/>
      <c r="AC94" s="5"/>
      <c r="AD94" s="5"/>
    </row>
    <row r="95" spans="12:30" ht="15">
      <c r="L95" s="5">
        <v>2117</v>
      </c>
      <c r="M95" s="5">
        <v>2078</v>
      </c>
      <c r="N95" s="5">
        <v>2065</v>
      </c>
      <c r="O95" s="5">
        <v>1801</v>
      </c>
      <c r="P95" s="5">
        <v>2019</v>
      </c>
      <c r="Q95" s="5">
        <v>1496</v>
      </c>
      <c r="R95" s="5">
        <v>1957</v>
      </c>
      <c r="S95" s="5">
        <v>1163</v>
      </c>
      <c r="T95">
        <v>1857</v>
      </c>
      <c r="U95">
        <v>806.5</v>
      </c>
      <c r="V95" s="5">
        <v>18.4</v>
      </c>
      <c r="Y95" s="5"/>
      <c r="Z95" s="5"/>
      <c r="AA95" s="5"/>
      <c r="AB95" s="5"/>
      <c r="AC95" s="5"/>
      <c r="AD95" s="5"/>
    </row>
    <row r="96" spans="12:30" ht="15">
      <c r="L96" s="5">
        <v>2721</v>
      </c>
      <c r="M96" s="5">
        <v>2073</v>
      </c>
      <c r="N96" s="5">
        <v>2610</v>
      </c>
      <c r="O96" s="5">
        <v>1733</v>
      </c>
      <c r="P96" s="5">
        <v>2491</v>
      </c>
      <c r="Q96" s="5">
        <v>1359</v>
      </c>
      <c r="R96" s="5">
        <v>2338</v>
      </c>
      <c r="S96" s="5">
        <v>963.5</v>
      </c>
      <c r="T96">
        <v>2127</v>
      </c>
      <c r="U96">
        <v>564.6</v>
      </c>
      <c r="V96" s="5">
        <v>18.6</v>
      </c>
      <c r="Y96" s="5"/>
      <c r="Z96" s="5"/>
      <c r="AA96" s="5"/>
      <c r="AB96" s="5"/>
      <c r="AC96" s="5"/>
      <c r="AD96" s="5"/>
    </row>
    <row r="97" spans="12:30" ht="15">
      <c r="L97" s="5">
        <v>3454</v>
      </c>
      <c r="M97" s="5">
        <v>1840</v>
      </c>
      <c r="N97" s="5">
        <v>3230</v>
      </c>
      <c r="O97" s="5">
        <v>1444</v>
      </c>
      <c r="P97" s="5">
        <v>2981</v>
      </c>
      <c r="Q97" s="5">
        <v>1019</v>
      </c>
      <c r="R97" s="5">
        <v>2681</v>
      </c>
      <c r="S97" s="5">
        <v>597.4</v>
      </c>
      <c r="T97">
        <v>2322</v>
      </c>
      <c r="U97">
        <v>209.8</v>
      </c>
      <c r="V97" s="5">
        <v>18.8</v>
      </c>
      <c r="Y97" s="5"/>
      <c r="Z97" s="5"/>
      <c r="AA97" s="5"/>
      <c r="AB97" s="5"/>
      <c r="AC97" s="5"/>
      <c r="AD97" s="5"/>
    </row>
    <row r="98" spans="12:30" ht="15">
      <c r="L98" s="5">
        <v>4192</v>
      </c>
      <c r="M98" s="5">
        <v>1233</v>
      </c>
      <c r="N98" s="5">
        <v>3794</v>
      </c>
      <c r="O98" s="5">
        <v>839.7</v>
      </c>
      <c r="P98" s="5">
        <v>3359</v>
      </c>
      <c r="Q98" s="5">
        <v>438.9</v>
      </c>
      <c r="R98" s="5">
        <v>2885</v>
      </c>
      <c r="S98" s="5">
        <v>76.7</v>
      </c>
      <c r="T98">
        <v>2379</v>
      </c>
      <c r="U98">
        <v>-215.7</v>
      </c>
      <c r="V98" s="5">
        <v>19</v>
      </c>
      <c r="Y98" s="5"/>
      <c r="Z98" s="5"/>
      <c r="AA98" s="5"/>
      <c r="AB98" s="5"/>
      <c r="AC98" s="5"/>
      <c r="AD98" s="5"/>
    </row>
    <row r="99" spans="12:30" ht="15">
      <c r="L99" s="5">
        <v>4653</v>
      </c>
      <c r="M99" s="5">
        <v>215.3</v>
      </c>
      <c r="N99" s="5">
        <v>4073</v>
      </c>
      <c r="O99" s="5">
        <v>-52.44</v>
      </c>
      <c r="P99" s="5">
        <v>3469</v>
      </c>
      <c r="Q99" s="5">
        <v>-306.3</v>
      </c>
      <c r="R99" s="5">
        <v>2862</v>
      </c>
      <c r="S99" s="5">
        <v>-504.9</v>
      </c>
      <c r="T99">
        <v>2275</v>
      </c>
      <c r="U99">
        <v>-631.3</v>
      </c>
      <c r="V99" s="5">
        <v>19.2</v>
      </c>
      <c r="Y99" s="5"/>
      <c r="Z99" s="5"/>
      <c r="AA99" s="5"/>
      <c r="AB99" s="5"/>
      <c r="AC99" s="5"/>
      <c r="AD99" s="5"/>
    </row>
    <row r="100" spans="12:30" ht="15">
      <c r="L100" s="5">
        <v>4556</v>
      </c>
      <c r="M100" s="5">
        <v>-959.1</v>
      </c>
      <c r="N100" s="5">
        <v>3902</v>
      </c>
      <c r="O100" s="5">
        <v>-996.7</v>
      </c>
      <c r="P100" s="5">
        <v>3244</v>
      </c>
      <c r="Q100" s="5">
        <v>-1021</v>
      </c>
      <c r="R100" s="5">
        <v>2618</v>
      </c>
      <c r="S100" s="5">
        <v>-1011</v>
      </c>
      <c r="T100">
        <v>2043</v>
      </c>
      <c r="U100">
        <v>-960.7</v>
      </c>
      <c r="V100" s="5">
        <v>19.4</v>
      </c>
      <c r="Y100" s="5"/>
      <c r="Z100" s="5"/>
      <c r="AA100" s="5"/>
      <c r="AB100" s="5"/>
      <c r="AC100" s="5"/>
      <c r="AD100" s="5"/>
    </row>
    <row r="101" spans="12:30" ht="15">
      <c r="L101" s="5">
        <v>3946</v>
      </c>
      <c r="M101" s="5">
        <v>-1878</v>
      </c>
      <c r="N101" s="5">
        <v>3366</v>
      </c>
      <c r="O101" s="5">
        <v>-1703</v>
      </c>
      <c r="P101" s="5">
        <v>2787</v>
      </c>
      <c r="Q101" s="5">
        <v>-1529</v>
      </c>
      <c r="R101" s="5">
        <v>2243</v>
      </c>
      <c r="S101" s="5">
        <v>-1351</v>
      </c>
      <c r="T101">
        <v>1751</v>
      </c>
      <c r="U101">
        <v>-1170</v>
      </c>
      <c r="V101" s="5">
        <v>19.6</v>
      </c>
      <c r="Y101" s="5"/>
      <c r="Z101" s="5"/>
      <c r="AA101" s="5"/>
      <c r="AB101" s="5"/>
      <c r="AC101" s="5"/>
      <c r="AD101" s="5"/>
    </row>
    <row r="102" spans="12:30" ht="15">
      <c r="L102" s="5">
        <v>3140</v>
      </c>
      <c r="M102" s="5">
        <v>-2356</v>
      </c>
      <c r="N102" s="5">
        <v>2705</v>
      </c>
      <c r="O102" s="5">
        <v>-2069</v>
      </c>
      <c r="P102" s="5">
        <v>2263</v>
      </c>
      <c r="Q102" s="5">
        <v>-1787</v>
      </c>
      <c r="R102" s="5">
        <v>1843</v>
      </c>
      <c r="S102" s="5">
        <v>-1520</v>
      </c>
      <c r="T102">
        <v>1457</v>
      </c>
      <c r="U102">
        <v>-1270</v>
      </c>
      <c r="V102" s="5">
        <v>19.8</v>
      </c>
      <c r="Y102" s="5"/>
      <c r="Z102" s="5"/>
      <c r="AA102" s="5"/>
      <c r="AB102" s="5"/>
      <c r="AC102" s="5"/>
      <c r="AD102" s="5"/>
    </row>
    <row r="103" spans="12:30" ht="15">
      <c r="L103" s="5">
        <v>2401</v>
      </c>
      <c r="M103" s="5">
        <v>-2478</v>
      </c>
      <c r="N103" s="5">
        <v>2100</v>
      </c>
      <c r="O103" s="5">
        <v>-2165</v>
      </c>
      <c r="P103" s="5">
        <v>1788</v>
      </c>
      <c r="Q103" s="5">
        <v>-1855</v>
      </c>
      <c r="R103" s="5">
        <v>1482</v>
      </c>
      <c r="S103" s="5">
        <v>-1561</v>
      </c>
      <c r="T103">
        <v>1193</v>
      </c>
      <c r="U103">
        <v>-1289</v>
      </c>
      <c r="V103" s="5">
        <v>20</v>
      </c>
      <c r="Y103" s="5"/>
      <c r="Z103" s="5"/>
      <c r="AA103" s="5"/>
      <c r="AB103" s="5"/>
      <c r="AC103" s="5"/>
      <c r="AD103" s="5"/>
    </row>
    <row r="104" spans="12:30" ht="15">
      <c r="L104" s="5">
        <v>1817</v>
      </c>
      <c r="M104" s="5">
        <v>-2402</v>
      </c>
      <c r="N104" s="5">
        <v>1615</v>
      </c>
      <c r="O104" s="5">
        <v>-2107</v>
      </c>
      <c r="P104" s="5">
        <v>1400</v>
      </c>
      <c r="Q104" s="5">
        <v>-1809</v>
      </c>
      <c r="R104" s="5">
        <v>1184</v>
      </c>
      <c r="S104" s="5">
        <v>-1524</v>
      </c>
      <c r="T104">
        <v>972.4</v>
      </c>
      <c r="U104">
        <v>-1258</v>
      </c>
      <c r="V104" s="5">
        <v>20.2</v>
      </c>
      <c r="Y104" s="5"/>
      <c r="Z104" s="5"/>
      <c r="AA104" s="5"/>
      <c r="AB104" s="5"/>
      <c r="AC104" s="5"/>
      <c r="AD104" s="5"/>
    </row>
    <row r="105" spans="12:30" ht="15">
      <c r="L105" s="5">
        <v>1384</v>
      </c>
      <c r="M105" s="5">
        <v>-2239</v>
      </c>
      <c r="N105" s="5">
        <v>1247</v>
      </c>
      <c r="O105" s="5">
        <v>-1976</v>
      </c>
      <c r="P105" s="5">
        <v>1100</v>
      </c>
      <c r="Q105" s="5">
        <v>-1707</v>
      </c>
      <c r="R105" s="5">
        <v>947.2</v>
      </c>
      <c r="S105" s="5">
        <v>-1446</v>
      </c>
      <c r="T105">
        <v>793.3</v>
      </c>
      <c r="U105">
        <v>-1198</v>
      </c>
      <c r="V105" s="5">
        <v>20.4</v>
      </c>
      <c r="Y105" s="5"/>
      <c r="Z105" s="5"/>
      <c r="AA105" s="5"/>
      <c r="AB105" s="5"/>
      <c r="AC105" s="5"/>
      <c r="AD105" s="5"/>
    </row>
    <row r="106" spans="12:30" ht="15">
      <c r="L106" s="5">
        <v>1067</v>
      </c>
      <c r="M106" s="5">
        <v>-2048</v>
      </c>
      <c r="N106" s="5">
        <v>973.1</v>
      </c>
      <c r="O106" s="5">
        <v>-1819</v>
      </c>
      <c r="P106" s="5">
        <v>870.7</v>
      </c>
      <c r="Q106" s="5">
        <v>-1582</v>
      </c>
      <c r="R106" s="5">
        <v>762.4</v>
      </c>
      <c r="S106" s="5">
        <v>-1348</v>
      </c>
      <c r="T106">
        <v>650</v>
      </c>
      <c r="U106">
        <v>-1125</v>
      </c>
      <c r="V106" s="5">
        <v>20.6</v>
      </c>
      <c r="Y106" s="5"/>
      <c r="Z106" s="5"/>
      <c r="AA106" s="5"/>
      <c r="AB106" s="5"/>
      <c r="AC106" s="5"/>
      <c r="AD106" s="5"/>
    </row>
    <row r="107" spans="12:30" ht="15">
      <c r="L107" s="5">
        <v>835.5</v>
      </c>
      <c r="M107" s="5">
        <v>-1858</v>
      </c>
      <c r="N107" s="5">
        <v>768.9</v>
      </c>
      <c r="O107" s="5">
        <v>-1658</v>
      </c>
      <c r="P107" s="5">
        <v>696.5</v>
      </c>
      <c r="Q107" s="5">
        <v>-1451</v>
      </c>
      <c r="R107" s="5">
        <v>618.7</v>
      </c>
      <c r="S107" s="5">
        <v>-1246</v>
      </c>
      <c r="T107">
        <v>536</v>
      </c>
      <c r="U107">
        <v>-1046</v>
      </c>
      <c r="V107" s="5">
        <v>20.8</v>
      </c>
      <c r="Y107" s="5"/>
      <c r="Z107" s="5"/>
      <c r="AA107" s="5"/>
      <c r="AB107" s="5"/>
      <c r="AC107" s="5"/>
      <c r="AD107" s="5"/>
    </row>
    <row r="108" spans="12:30" ht="15">
      <c r="L108" s="5">
        <v>663.9</v>
      </c>
      <c r="M108" s="5">
        <v>-1678</v>
      </c>
      <c r="N108" s="5">
        <v>615.6</v>
      </c>
      <c r="O108" s="5">
        <v>-1505</v>
      </c>
      <c r="P108" s="5">
        <v>563.4</v>
      </c>
      <c r="Q108" s="5">
        <v>-1325</v>
      </c>
      <c r="R108" s="5">
        <v>506.7</v>
      </c>
      <c r="S108" s="5">
        <v>-1143</v>
      </c>
      <c r="T108">
        <v>445.3</v>
      </c>
      <c r="U108">
        <v>-965.9</v>
      </c>
      <c r="V108" s="5">
        <v>21</v>
      </c>
      <c r="Y108" s="5"/>
      <c r="Z108" s="5"/>
      <c r="AA108" s="5"/>
      <c r="AB108" s="5"/>
      <c r="AC108" s="5"/>
      <c r="AD108" s="5"/>
    </row>
    <row r="109" spans="12:30" ht="15">
      <c r="L109" s="5">
        <v>535.2</v>
      </c>
      <c r="M109" s="5">
        <v>-1512</v>
      </c>
      <c r="N109" s="5">
        <v>499.2</v>
      </c>
      <c r="O109" s="5">
        <v>-1362</v>
      </c>
      <c r="P109" s="5">
        <v>460.8</v>
      </c>
      <c r="Q109" s="5">
        <v>-1205</v>
      </c>
      <c r="R109" s="5">
        <v>418.9</v>
      </c>
      <c r="S109" s="5">
        <v>-1045</v>
      </c>
      <c r="T109">
        <v>372.7</v>
      </c>
      <c r="U109">
        <v>-888.1</v>
      </c>
      <c r="V109" s="5">
        <v>21.2</v>
      </c>
      <c r="Y109" s="5"/>
      <c r="Z109" s="5"/>
      <c r="AA109" s="5"/>
      <c r="AB109" s="5"/>
      <c r="AC109" s="5"/>
      <c r="AD109" s="5"/>
    </row>
    <row r="110" spans="12:30" ht="15">
      <c r="L110" s="5">
        <v>437.2</v>
      </c>
      <c r="M110" s="5">
        <v>-1362</v>
      </c>
      <c r="N110" s="5">
        <v>409.7</v>
      </c>
      <c r="O110" s="5">
        <v>-1231</v>
      </c>
      <c r="P110" s="5">
        <v>381</v>
      </c>
      <c r="Q110" s="5">
        <v>-1093</v>
      </c>
      <c r="R110" s="5">
        <v>349.6</v>
      </c>
      <c r="S110" s="5">
        <v>-952.7</v>
      </c>
      <c r="T110">
        <v>314.6</v>
      </c>
      <c r="U110">
        <v>-813.3</v>
      </c>
      <c r="V110" s="5">
        <v>21.4</v>
      </c>
      <c r="Y110" s="5"/>
      <c r="Z110" s="5"/>
      <c r="AA110" s="5"/>
      <c r="AB110" s="5"/>
      <c r="AC110" s="5"/>
      <c r="AD110" s="5"/>
    </row>
    <row r="111" spans="12:30" ht="15">
      <c r="L111" s="5">
        <v>361.8</v>
      </c>
      <c r="M111" s="5">
        <v>-1225</v>
      </c>
      <c r="N111" s="5">
        <v>340.3</v>
      </c>
      <c r="O111" s="5">
        <v>-1110</v>
      </c>
      <c r="P111" s="5">
        <v>318.4</v>
      </c>
      <c r="Q111" s="5">
        <v>-988.9</v>
      </c>
      <c r="R111" s="5">
        <v>294.6</v>
      </c>
      <c r="S111" s="5">
        <v>-865.6</v>
      </c>
      <c r="T111">
        <v>267.7</v>
      </c>
      <c r="U111">
        <v>-742.2</v>
      </c>
      <c r="V111" s="5">
        <v>21.6</v>
      </c>
      <c r="Y111" s="5"/>
      <c r="Z111" s="5"/>
      <c r="AA111" s="5"/>
      <c r="AB111" s="5"/>
      <c r="AC111" s="5"/>
      <c r="AD111" s="5"/>
    </row>
    <row r="112" spans="12:30" ht="15">
      <c r="L112" s="5">
        <v>303.1</v>
      </c>
      <c r="M112" s="5">
        <v>-1099</v>
      </c>
      <c r="N112" s="5">
        <v>286</v>
      </c>
      <c r="O112" s="5">
        <v>-998.8</v>
      </c>
      <c r="P112" s="5">
        <v>269</v>
      </c>
      <c r="Q112" s="5">
        <v>-892.6</v>
      </c>
      <c r="R112" s="5">
        <v>250.7</v>
      </c>
      <c r="S112" s="5">
        <v>-783.9</v>
      </c>
      <c r="T112">
        <v>229.9</v>
      </c>
      <c r="U112">
        <v>-674.7</v>
      </c>
      <c r="V112" s="5">
        <v>21.8</v>
      </c>
      <c r="Y112" s="5"/>
      <c r="Z112" s="5"/>
      <c r="AA112" s="5"/>
      <c r="AB112" s="5"/>
      <c r="AC112" s="5"/>
      <c r="AD112" s="5"/>
    </row>
    <row r="113" spans="12:30" ht="15">
      <c r="L113" s="5">
        <v>257.2</v>
      </c>
      <c r="M113" s="5">
        <v>-984.5</v>
      </c>
      <c r="N113" s="5">
        <v>243.1</v>
      </c>
      <c r="O113" s="5">
        <v>-896.3</v>
      </c>
      <c r="P113" s="5">
        <v>229.8</v>
      </c>
      <c r="Q113" s="5">
        <v>-802.9</v>
      </c>
      <c r="R113" s="5">
        <v>215.5</v>
      </c>
      <c r="S113" s="5">
        <v>-707.1</v>
      </c>
      <c r="T113">
        <v>199.4</v>
      </c>
      <c r="U113">
        <v>-610.5</v>
      </c>
      <c r="V113" s="5">
        <v>22</v>
      </c>
      <c r="Y113" s="5"/>
      <c r="Z113" s="5"/>
      <c r="AA113" s="5"/>
      <c r="AB113" s="5"/>
      <c r="AC113" s="5"/>
      <c r="AD113" s="5"/>
    </row>
    <row r="114" spans="12:30" ht="15">
      <c r="L114" s="5">
        <v>221.1</v>
      </c>
      <c r="M114" s="5">
        <v>-878.4</v>
      </c>
      <c r="N114" s="5">
        <v>209.3</v>
      </c>
      <c r="O114" s="5">
        <v>-801.1</v>
      </c>
      <c r="P114" s="5">
        <v>198.6</v>
      </c>
      <c r="Q114" s="5">
        <v>-719.1</v>
      </c>
      <c r="R114" s="5">
        <v>187.4</v>
      </c>
      <c r="S114" s="5">
        <v>-634.8</v>
      </c>
      <c r="T114">
        <v>174.8</v>
      </c>
      <c r="U114">
        <v>-549.5</v>
      </c>
      <c r="V114" s="5">
        <v>22.2</v>
      </c>
      <c r="Y114" s="5"/>
      <c r="Z114" s="5"/>
      <c r="AA114" s="5"/>
      <c r="AB114" s="5"/>
      <c r="AC114" s="5"/>
      <c r="AD114" s="5"/>
    </row>
    <row r="115" spans="12:30" ht="15">
      <c r="L115" s="5">
        <v>192.7</v>
      </c>
      <c r="M115" s="5">
        <v>-779.8</v>
      </c>
      <c r="N115" s="5">
        <v>182.7</v>
      </c>
      <c r="O115" s="5">
        <v>-712.3</v>
      </c>
      <c r="P115" s="5">
        <v>173.9</v>
      </c>
      <c r="Q115" s="5">
        <v>-640.4</v>
      </c>
      <c r="R115" s="5">
        <v>165</v>
      </c>
      <c r="S115" s="5">
        <v>-566.4</v>
      </c>
      <c r="T115">
        <v>155.1</v>
      </c>
      <c r="U115">
        <v>-491.2</v>
      </c>
      <c r="V115" s="5">
        <v>22.4</v>
      </c>
      <c r="Y115" s="5"/>
      <c r="Z115" s="5"/>
      <c r="AA115" s="5"/>
      <c r="AB115" s="5"/>
      <c r="AC115" s="5"/>
      <c r="AD115" s="5"/>
    </row>
    <row r="116" spans="12:30" ht="15">
      <c r="L116" s="5">
        <v>170.4</v>
      </c>
      <c r="M116" s="5">
        <v>-687.4</v>
      </c>
      <c r="N116" s="5">
        <v>161.7</v>
      </c>
      <c r="O116" s="5">
        <v>-628.7</v>
      </c>
      <c r="P116" s="5">
        <v>154.5</v>
      </c>
      <c r="Q116" s="5">
        <v>-566</v>
      </c>
      <c r="R116" s="5">
        <v>147.4</v>
      </c>
      <c r="S116" s="5">
        <v>-501.3</v>
      </c>
      <c r="T116">
        <v>139.5</v>
      </c>
      <c r="U116">
        <v>-435.4</v>
      </c>
      <c r="V116" s="5">
        <v>22.6</v>
      </c>
      <c r="Y116" s="5"/>
      <c r="Z116" s="5"/>
      <c r="AA116" s="5"/>
      <c r="AB116" s="5"/>
      <c r="AC116" s="5"/>
      <c r="AD116" s="5"/>
    </row>
    <row r="117" spans="12:30" ht="15">
      <c r="L117" s="5">
        <v>153.1</v>
      </c>
      <c r="M117" s="5">
        <v>-600.2</v>
      </c>
      <c r="N117" s="5">
        <v>145.5</v>
      </c>
      <c r="O117" s="5">
        <v>-549.6</v>
      </c>
      <c r="P117" s="5">
        <v>139.4</v>
      </c>
      <c r="Q117" s="5">
        <v>-495.3</v>
      </c>
      <c r="R117" s="5">
        <v>133.7</v>
      </c>
      <c r="S117" s="5">
        <v>-439</v>
      </c>
      <c r="T117">
        <v>127.4</v>
      </c>
      <c r="U117">
        <v>-381.6</v>
      </c>
      <c r="V117" s="5">
        <v>22.8</v>
      </c>
      <c r="Y117" s="5"/>
      <c r="Z117" s="5"/>
      <c r="AA117" s="5"/>
      <c r="AB117" s="5"/>
      <c r="AC117" s="5"/>
      <c r="AD117" s="5"/>
    </row>
    <row r="118" spans="12:30" ht="15">
      <c r="L118" s="5">
        <v>140.1</v>
      </c>
      <c r="M118" s="5">
        <v>-517.5</v>
      </c>
      <c r="N118" s="5">
        <v>133.2</v>
      </c>
      <c r="O118" s="5">
        <v>-474.3</v>
      </c>
      <c r="P118" s="5">
        <v>128.1</v>
      </c>
      <c r="Q118" s="5">
        <v>-427.7</v>
      </c>
      <c r="R118" s="5">
        <v>123.4</v>
      </c>
      <c r="S118" s="5">
        <v>-379.3</v>
      </c>
      <c r="T118">
        <v>118.5</v>
      </c>
      <c r="U118">
        <v>-329.7</v>
      </c>
      <c r="V118" s="5">
        <v>23</v>
      </c>
      <c r="Y118" s="5"/>
      <c r="Z118" s="5"/>
      <c r="AA118" s="5"/>
      <c r="AB118" s="5"/>
      <c r="AC118" s="5"/>
      <c r="AD118" s="5"/>
    </row>
    <row r="119" spans="12:30" ht="15">
      <c r="L119" s="5">
        <v>130.6</v>
      </c>
      <c r="M119" s="5">
        <v>-438.3</v>
      </c>
      <c r="N119" s="5">
        <v>124.3</v>
      </c>
      <c r="O119" s="5">
        <v>-402.1</v>
      </c>
      <c r="P119" s="5">
        <v>119.9</v>
      </c>
      <c r="Q119" s="5">
        <v>-362.7</v>
      </c>
      <c r="R119" s="5">
        <v>116.1</v>
      </c>
      <c r="S119" s="5">
        <v>-321.4</v>
      </c>
      <c r="T119">
        <v>112.3</v>
      </c>
      <c r="U119">
        <v>-279.2</v>
      </c>
      <c r="V119" s="5">
        <v>23.2</v>
      </c>
      <c r="Y119" s="5"/>
      <c r="Z119" s="5"/>
      <c r="AA119" s="5"/>
      <c r="AB119" s="5"/>
      <c r="AC119" s="5"/>
      <c r="AD119" s="5"/>
    </row>
    <row r="120" spans="12:30" ht="15">
      <c r="L120" s="5">
        <v>124.3</v>
      </c>
      <c r="M120" s="5">
        <v>-362.1</v>
      </c>
      <c r="N120" s="5">
        <v>118.4</v>
      </c>
      <c r="O120" s="5">
        <v>-332.4</v>
      </c>
      <c r="P120" s="5">
        <v>114.6</v>
      </c>
      <c r="Q120" s="5">
        <v>-299.7</v>
      </c>
      <c r="R120" s="5">
        <v>111.5</v>
      </c>
      <c r="S120" s="5">
        <v>-265.3</v>
      </c>
      <c r="T120">
        <v>108.5</v>
      </c>
      <c r="U120">
        <v>-229.8</v>
      </c>
      <c r="V120" s="5">
        <v>23.4</v>
      </c>
      <c r="Y120" s="5"/>
      <c r="Z120" s="5"/>
      <c r="AA120" s="5"/>
      <c r="AB120" s="5"/>
      <c r="AC120" s="5"/>
      <c r="AD120" s="5"/>
    </row>
    <row r="121" spans="12:30" ht="15">
      <c r="L121" s="5">
        <v>120.7</v>
      </c>
      <c r="M121" s="5">
        <v>-288.2</v>
      </c>
      <c r="N121" s="5">
        <v>115.2</v>
      </c>
      <c r="O121" s="5">
        <v>-264.7</v>
      </c>
      <c r="P121" s="5">
        <v>111.8</v>
      </c>
      <c r="Q121" s="5">
        <v>-238.3</v>
      </c>
      <c r="R121" s="5">
        <v>109.4</v>
      </c>
      <c r="S121" s="5">
        <v>-210.3</v>
      </c>
      <c r="T121">
        <v>107.2</v>
      </c>
      <c r="U121">
        <v>-181.4</v>
      </c>
      <c r="V121" s="5">
        <v>23.6</v>
      </c>
      <c r="Y121" s="5"/>
      <c r="Z121" s="5"/>
      <c r="AA121" s="5"/>
      <c r="AB121" s="5"/>
      <c r="AC121" s="5"/>
      <c r="AD121" s="5"/>
    </row>
    <row r="122" spans="12:30" ht="15">
      <c r="L122" s="5">
        <v>119.7</v>
      </c>
      <c r="M122" s="5">
        <v>-216.1</v>
      </c>
      <c r="N122" s="5">
        <v>114.5</v>
      </c>
      <c r="O122" s="5">
        <v>-198.6</v>
      </c>
      <c r="P122" s="5">
        <v>111.5</v>
      </c>
      <c r="Q122" s="5">
        <v>-178.2</v>
      </c>
      <c r="R122" s="5">
        <v>109.5</v>
      </c>
      <c r="S122" s="5">
        <v>-156.4</v>
      </c>
      <c r="T122">
        <v>108</v>
      </c>
      <c r="U122">
        <v>-133.7</v>
      </c>
      <c r="V122" s="5">
        <v>23.8</v>
      </c>
      <c r="Y122" s="5"/>
      <c r="Z122" s="5"/>
      <c r="AA122" s="5"/>
      <c r="AB122" s="5"/>
      <c r="AC122" s="5"/>
      <c r="AD122" s="5"/>
    </row>
    <row r="123" spans="12:30" ht="15">
      <c r="L123" s="5">
        <v>121.1</v>
      </c>
      <c r="M123" s="5">
        <v>-145.2</v>
      </c>
      <c r="N123" s="5">
        <v>116.1</v>
      </c>
      <c r="O123" s="5">
        <v>-133.4</v>
      </c>
      <c r="P123" s="5">
        <v>113.4</v>
      </c>
      <c r="Q123" s="5">
        <v>-119</v>
      </c>
      <c r="R123" s="5">
        <v>112</v>
      </c>
      <c r="S123" s="5">
        <v>-103.1</v>
      </c>
      <c r="T123">
        <v>111.1</v>
      </c>
      <c r="U123">
        <v>-86.3</v>
      </c>
      <c r="V123" s="5">
        <v>24</v>
      </c>
      <c r="Y123" s="5"/>
      <c r="Z123" s="5"/>
      <c r="AA123" s="5"/>
      <c r="AB123" s="5"/>
      <c r="AC123" s="5"/>
      <c r="AD123" s="5"/>
    </row>
    <row r="124" spans="12:30" ht="15">
      <c r="L124" s="5">
        <v>124.8</v>
      </c>
      <c r="M124" s="5">
        <v>-75.18</v>
      </c>
      <c r="N124" s="5">
        <v>120</v>
      </c>
      <c r="O124" s="5">
        <v>-68.99</v>
      </c>
      <c r="P124" s="5">
        <v>117.6</v>
      </c>
      <c r="Q124" s="5">
        <v>-60.23</v>
      </c>
      <c r="R124" s="5">
        <v>116.6</v>
      </c>
      <c r="S124" s="5">
        <v>-50.08</v>
      </c>
      <c r="T124">
        <v>116.3</v>
      </c>
      <c r="U124">
        <v>-39.15</v>
      </c>
      <c r="V124" s="5">
        <v>24.2</v>
      </c>
      <c r="Y124" s="5"/>
      <c r="Z124" s="5"/>
      <c r="AA124" s="5"/>
      <c r="AB124" s="5"/>
      <c r="AC124" s="5"/>
      <c r="AD124" s="5"/>
    </row>
    <row r="125" spans="12:30" ht="15">
      <c r="L125" s="5">
        <v>130.9</v>
      </c>
      <c r="M125" s="5">
        <v>-5.473</v>
      </c>
      <c r="N125" s="5">
        <v>126.2</v>
      </c>
      <c r="O125" s="5">
        <v>-4.81</v>
      </c>
      <c r="P125" s="5">
        <v>124.1</v>
      </c>
      <c r="Q125" s="5">
        <v>-1.642</v>
      </c>
      <c r="R125" s="5">
        <v>123.6</v>
      </c>
      <c r="S125" s="5">
        <v>2.837</v>
      </c>
      <c r="T125">
        <v>123.9</v>
      </c>
      <c r="U125">
        <v>8.053</v>
      </c>
      <c r="V125" s="5">
        <v>24.4</v>
      </c>
      <c r="Y125" s="5"/>
      <c r="Z125" s="5"/>
      <c r="AA125" s="5"/>
      <c r="AB125" s="5"/>
      <c r="AC125" s="5"/>
      <c r="AD125" s="5"/>
    </row>
    <row r="126" spans="12:30" ht="15">
      <c r="L126" s="5">
        <v>139.4</v>
      </c>
      <c r="M126" s="5">
        <v>64.31</v>
      </c>
      <c r="N126" s="5">
        <v>134.8</v>
      </c>
      <c r="O126" s="5">
        <v>59.49</v>
      </c>
      <c r="P126" s="5">
        <v>133</v>
      </c>
      <c r="Q126" s="5">
        <v>57.12</v>
      </c>
      <c r="R126" s="5">
        <v>132.9</v>
      </c>
      <c r="S126" s="5">
        <v>55.99</v>
      </c>
      <c r="T126">
        <v>133.9</v>
      </c>
      <c r="U126">
        <v>55.5</v>
      </c>
      <c r="V126" s="5">
        <v>24.6</v>
      </c>
      <c r="Y126" s="5"/>
      <c r="Z126" s="5"/>
      <c r="AA126" s="5"/>
      <c r="AB126" s="5"/>
      <c r="AC126" s="5"/>
      <c r="AD126" s="5"/>
    </row>
    <row r="127" spans="12:30" ht="15">
      <c r="L127" s="5">
        <v>150.5</v>
      </c>
      <c r="M127" s="5">
        <v>134.7</v>
      </c>
      <c r="N127" s="5">
        <v>146</v>
      </c>
      <c r="O127" s="5">
        <v>124.3</v>
      </c>
      <c r="P127" s="5">
        <v>144.5</v>
      </c>
      <c r="Q127" s="5">
        <v>116.4</v>
      </c>
      <c r="R127" s="5">
        <v>144.9</v>
      </c>
      <c r="S127" s="5">
        <v>109.6</v>
      </c>
      <c r="T127">
        <v>146.5</v>
      </c>
      <c r="U127">
        <v>103.4</v>
      </c>
      <c r="V127" s="5">
        <v>24.8</v>
      </c>
      <c r="Y127" s="5"/>
      <c r="Z127" s="5"/>
      <c r="AA127" s="5"/>
      <c r="AB127" s="5"/>
      <c r="AC127" s="5"/>
      <c r="AD127" s="5"/>
    </row>
    <row r="128" spans="12:30" ht="15">
      <c r="L128" s="5">
        <v>164.4</v>
      </c>
      <c r="M128" s="5">
        <v>206</v>
      </c>
      <c r="N128" s="5">
        <v>159.9</v>
      </c>
      <c r="O128" s="5">
        <v>190.1</v>
      </c>
      <c r="P128" s="5">
        <v>158.8</v>
      </c>
      <c r="Q128" s="5">
        <v>176.5</v>
      </c>
      <c r="R128" s="5">
        <v>159.7</v>
      </c>
      <c r="S128" s="5">
        <v>164</v>
      </c>
      <c r="T128">
        <v>162.1</v>
      </c>
      <c r="U128">
        <v>152</v>
      </c>
      <c r="V128" s="5">
        <v>25</v>
      </c>
      <c r="Y128" s="5"/>
      <c r="Z128" s="5"/>
      <c r="AA128" s="5"/>
      <c r="AB128" s="5"/>
      <c r="AC128" s="5"/>
      <c r="AD128" s="5"/>
    </row>
    <row r="129" spans="12:30" ht="15">
      <c r="L129" s="5">
        <v>181.3</v>
      </c>
      <c r="M129" s="5">
        <v>278.7</v>
      </c>
      <c r="N129" s="5">
        <v>176.9</v>
      </c>
      <c r="O129" s="5">
        <v>257.1</v>
      </c>
      <c r="P129" s="5">
        <v>176.2</v>
      </c>
      <c r="Q129" s="5">
        <v>237.8</v>
      </c>
      <c r="R129" s="5">
        <v>177.7</v>
      </c>
      <c r="S129" s="5">
        <v>219.5</v>
      </c>
      <c r="T129">
        <v>181</v>
      </c>
      <c r="U129">
        <v>201.4</v>
      </c>
      <c r="V129" s="5">
        <v>25.2</v>
      </c>
      <c r="Y129" s="5"/>
      <c r="Z129" s="5"/>
      <c r="AA129" s="5"/>
      <c r="AB129" s="5"/>
      <c r="AC129" s="5"/>
      <c r="AD129" s="5"/>
    </row>
    <row r="130" spans="12:30" ht="15">
      <c r="L130" s="5">
        <v>201.8</v>
      </c>
      <c r="M130" s="5">
        <v>353.4</v>
      </c>
      <c r="N130" s="5">
        <v>197.5</v>
      </c>
      <c r="O130" s="5">
        <v>325.9</v>
      </c>
      <c r="P130" s="5">
        <v>197.1</v>
      </c>
      <c r="Q130" s="5">
        <v>300.6</v>
      </c>
      <c r="R130" s="5">
        <v>199.3</v>
      </c>
      <c r="S130" s="5">
        <v>276.2</v>
      </c>
      <c r="T130">
        <v>203.6</v>
      </c>
      <c r="U130">
        <v>251.8</v>
      </c>
      <c r="V130" s="5">
        <v>25.4</v>
      </c>
      <c r="Y130" s="5"/>
      <c r="Z130" s="5"/>
      <c r="AA130" s="5"/>
      <c r="AB130" s="5"/>
      <c r="AC130" s="5"/>
      <c r="AD130" s="5"/>
    </row>
    <row r="131" spans="12:30" ht="15">
      <c r="L131" s="5">
        <v>226.4</v>
      </c>
      <c r="M131" s="5">
        <v>430.5</v>
      </c>
      <c r="N131" s="5">
        <v>222.1</v>
      </c>
      <c r="O131" s="5">
        <v>396.8</v>
      </c>
      <c r="P131" s="5">
        <v>222.2</v>
      </c>
      <c r="Q131" s="5">
        <v>365.3</v>
      </c>
      <c r="R131" s="5">
        <v>225.2</v>
      </c>
      <c r="S131" s="5">
        <v>334.5</v>
      </c>
      <c r="T131">
        <v>230.6</v>
      </c>
      <c r="U131">
        <v>303.3</v>
      </c>
      <c r="V131" s="5">
        <v>25.6</v>
      </c>
      <c r="Y131" s="5"/>
      <c r="Z131" s="5"/>
      <c r="AA131" s="5"/>
      <c r="AB131" s="5"/>
      <c r="AC131" s="5"/>
      <c r="AD131" s="5"/>
    </row>
    <row r="132" spans="12:30" ht="15">
      <c r="L132" s="5">
        <v>255.7</v>
      </c>
      <c r="M132" s="5">
        <v>510.5</v>
      </c>
      <c r="N132" s="5">
        <v>251.4</v>
      </c>
      <c r="O132" s="5">
        <v>470.3</v>
      </c>
      <c r="P132" s="5">
        <v>252.1</v>
      </c>
      <c r="Q132" s="5">
        <v>432.2</v>
      </c>
      <c r="R132" s="5">
        <v>256</v>
      </c>
      <c r="S132" s="5">
        <v>394.5</v>
      </c>
      <c r="T132">
        <v>262.7</v>
      </c>
      <c r="U132">
        <v>356</v>
      </c>
      <c r="V132" s="5">
        <v>25.8</v>
      </c>
      <c r="Y132" s="5"/>
      <c r="Z132" s="5"/>
      <c r="AA132" s="5"/>
      <c r="AB132" s="5"/>
      <c r="AC132" s="5"/>
      <c r="AD132" s="5"/>
    </row>
    <row r="133" spans="12:30" ht="15">
      <c r="L133" s="5">
        <v>290.7</v>
      </c>
      <c r="M133" s="5">
        <v>594.1</v>
      </c>
      <c r="N133" s="5">
        <v>286.5</v>
      </c>
      <c r="O133" s="5">
        <v>547</v>
      </c>
      <c r="P133" s="5">
        <v>287.7</v>
      </c>
      <c r="Q133" s="5">
        <v>501.6</v>
      </c>
      <c r="R133" s="5">
        <v>292.7</v>
      </c>
      <c r="S133" s="5">
        <v>456.4</v>
      </c>
      <c r="T133">
        <v>300.9</v>
      </c>
      <c r="U133">
        <v>409.9</v>
      </c>
      <c r="V133" s="5">
        <v>26</v>
      </c>
      <c r="Y133" s="5"/>
      <c r="Z133" s="5"/>
      <c r="AA133" s="5"/>
      <c r="AB133" s="5"/>
      <c r="AC133" s="5"/>
      <c r="AD133" s="5"/>
    </row>
    <row r="134" spans="12:30" ht="15">
      <c r="L134" s="5">
        <v>332.7</v>
      </c>
      <c r="M134" s="5">
        <v>681.8</v>
      </c>
      <c r="N134" s="5">
        <v>328.5</v>
      </c>
      <c r="O134" s="5">
        <v>627.2</v>
      </c>
      <c r="P134" s="5">
        <v>330.4</v>
      </c>
      <c r="Q134" s="5">
        <v>574</v>
      </c>
      <c r="R134" s="5">
        <v>336.5</v>
      </c>
      <c r="S134" s="5">
        <v>520.4</v>
      </c>
      <c r="T134">
        <v>346.3</v>
      </c>
      <c r="U134">
        <v>464.8</v>
      </c>
      <c r="V134" s="5">
        <v>26.2</v>
      </c>
      <c r="Y134" s="5"/>
      <c r="Z134" s="5"/>
      <c r="AA134" s="5"/>
      <c r="AB134" s="5"/>
      <c r="AC134" s="5"/>
      <c r="AD134" s="5"/>
    </row>
    <row r="135" spans="12:30" ht="15">
      <c r="L135" s="5">
        <v>383.2</v>
      </c>
      <c r="M135" s="5">
        <v>774.4</v>
      </c>
      <c r="N135" s="5">
        <v>378.9</v>
      </c>
      <c r="O135" s="5">
        <v>711.3</v>
      </c>
      <c r="P135" s="5">
        <v>381.6</v>
      </c>
      <c r="Q135" s="5">
        <v>649.4</v>
      </c>
      <c r="R135" s="5">
        <v>389</v>
      </c>
      <c r="S135" s="5">
        <v>586.4</v>
      </c>
      <c r="T135">
        <v>400.5</v>
      </c>
      <c r="U135">
        <v>520.3</v>
      </c>
      <c r="V135" s="5">
        <v>26.4</v>
      </c>
      <c r="Y135" s="5"/>
      <c r="Z135" s="5"/>
      <c r="AA135" s="5"/>
      <c r="AB135" s="5"/>
      <c r="AC135" s="5"/>
      <c r="AD135" s="5"/>
    </row>
    <row r="136" spans="12:30" ht="15">
      <c r="L136" s="5">
        <v>444.2</v>
      </c>
      <c r="M136" s="5">
        <v>872.4</v>
      </c>
      <c r="N136" s="5">
        <v>439.8</v>
      </c>
      <c r="O136" s="5">
        <v>799.9</v>
      </c>
      <c r="P136" s="5">
        <v>443.2</v>
      </c>
      <c r="Q136" s="5">
        <v>728</v>
      </c>
      <c r="R136" s="5">
        <v>452</v>
      </c>
      <c r="S136" s="5">
        <v>654</v>
      </c>
      <c r="T136">
        <v>465.1</v>
      </c>
      <c r="U136">
        <v>575.6</v>
      </c>
      <c r="V136" s="5">
        <v>26.6</v>
      </c>
      <c r="Y136" s="5"/>
      <c r="Z136" s="5"/>
      <c r="AA136" s="5"/>
      <c r="AB136" s="5"/>
      <c r="AC136" s="5"/>
      <c r="AD136" s="5"/>
    </row>
    <row r="137" spans="12:30" ht="15">
      <c r="L137" s="5">
        <v>518.7</v>
      </c>
      <c r="M137" s="5">
        <v>976.2</v>
      </c>
      <c r="N137" s="5">
        <v>513.9</v>
      </c>
      <c r="O137" s="5">
        <v>893.1</v>
      </c>
      <c r="P137" s="5">
        <v>518</v>
      </c>
      <c r="Q137" s="5">
        <v>809.5</v>
      </c>
      <c r="R137" s="5">
        <v>528</v>
      </c>
      <c r="S137" s="5">
        <v>722.7</v>
      </c>
      <c r="T137">
        <v>542.3</v>
      </c>
      <c r="U137">
        <v>629.6</v>
      </c>
      <c r="V137" s="5">
        <v>26.8</v>
      </c>
      <c r="Y137" s="5"/>
      <c r="Z137" s="5"/>
      <c r="AA137" s="5"/>
      <c r="AB137" s="5"/>
      <c r="AC137" s="5"/>
      <c r="AD137" s="5"/>
    </row>
    <row r="138" spans="12:30" ht="15">
      <c r="L138" s="5">
        <v>610.2</v>
      </c>
      <c r="M138" s="5">
        <v>1086</v>
      </c>
      <c r="N138" s="5">
        <v>604.7</v>
      </c>
      <c r="O138" s="5">
        <v>990.7</v>
      </c>
      <c r="P138" s="5">
        <v>609.3</v>
      </c>
      <c r="Q138" s="5">
        <v>893.3</v>
      </c>
      <c r="R138" s="5">
        <v>619.9</v>
      </c>
      <c r="S138" s="5">
        <v>791</v>
      </c>
      <c r="T138">
        <v>634.6</v>
      </c>
      <c r="U138">
        <v>679.9</v>
      </c>
      <c r="V138" s="5">
        <v>27</v>
      </c>
      <c r="Y138" s="5"/>
      <c r="Z138" s="5"/>
      <c r="AA138" s="5"/>
      <c r="AB138" s="5"/>
      <c r="AC138" s="5"/>
      <c r="AD138" s="5"/>
    </row>
    <row r="139" spans="12:30" ht="15">
      <c r="L139" s="5">
        <v>723.8</v>
      </c>
      <c r="M139" s="5">
        <v>1202</v>
      </c>
      <c r="N139" s="5">
        <v>717</v>
      </c>
      <c r="O139" s="5">
        <v>1092</v>
      </c>
      <c r="P139" s="5">
        <v>721.3</v>
      </c>
      <c r="Q139" s="5">
        <v>977.8</v>
      </c>
      <c r="R139" s="5">
        <v>731.7</v>
      </c>
      <c r="S139" s="5">
        <v>856.5</v>
      </c>
      <c r="T139">
        <v>744.9</v>
      </c>
      <c r="U139">
        <v>723.3</v>
      </c>
      <c r="V139" s="5">
        <v>27.2</v>
      </c>
      <c r="Y139" s="5"/>
      <c r="Z139" s="5"/>
      <c r="AA139" s="5"/>
      <c r="AB139" s="5"/>
      <c r="AC139" s="5"/>
      <c r="AD139" s="5"/>
    </row>
    <row r="140" spans="12:30" ht="15">
      <c r="L140" s="5">
        <v>866.2</v>
      </c>
      <c r="M140" s="5">
        <v>1323</v>
      </c>
      <c r="N140" s="5">
        <v>856.8</v>
      </c>
      <c r="O140" s="5">
        <v>1195</v>
      </c>
      <c r="P140" s="5">
        <v>859.4</v>
      </c>
      <c r="Q140" s="5">
        <v>1060</v>
      </c>
      <c r="R140" s="5">
        <v>867.4</v>
      </c>
      <c r="S140" s="5">
        <v>914.9</v>
      </c>
      <c r="T140">
        <v>875.5</v>
      </c>
      <c r="U140">
        <v>754.6</v>
      </c>
      <c r="V140" s="5">
        <v>27.4</v>
      </c>
      <c r="Y140" s="5"/>
      <c r="Z140" s="5"/>
      <c r="AA140" s="5"/>
      <c r="AB140" s="5"/>
      <c r="AC140" s="5"/>
      <c r="AD140" s="5"/>
    </row>
    <row r="141" spans="12:30" ht="15">
      <c r="L141" s="5">
        <v>1046</v>
      </c>
      <c r="M141" s="5">
        <v>1445</v>
      </c>
      <c r="N141" s="5">
        <v>1032</v>
      </c>
      <c r="O141" s="5">
        <v>1294</v>
      </c>
      <c r="P141" s="5">
        <v>1030</v>
      </c>
      <c r="Q141" s="5">
        <v>1134</v>
      </c>
      <c r="R141" s="5">
        <v>1032</v>
      </c>
      <c r="S141" s="5">
        <v>959.4</v>
      </c>
      <c r="T141">
        <v>1028</v>
      </c>
      <c r="U141">
        <v>766.2</v>
      </c>
      <c r="V141" s="5">
        <v>27.6</v>
      </c>
      <c r="Y141" s="5"/>
      <c r="Z141" s="5"/>
      <c r="AA141" s="5"/>
      <c r="AB141" s="5"/>
      <c r="AC141" s="5"/>
      <c r="AD141" s="5"/>
    </row>
    <row r="142" spans="12:30" ht="15">
      <c r="L142" s="5">
        <v>1276</v>
      </c>
      <c r="M142" s="5">
        <v>1561</v>
      </c>
      <c r="N142" s="5">
        <v>1252</v>
      </c>
      <c r="O142" s="5">
        <v>1383</v>
      </c>
      <c r="P142" s="5">
        <v>1241</v>
      </c>
      <c r="Q142" s="5">
        <v>1190</v>
      </c>
      <c r="R142" s="5">
        <v>1228</v>
      </c>
      <c r="S142" s="5">
        <v>979.2</v>
      </c>
      <c r="T142">
        <v>1202</v>
      </c>
      <c r="U142">
        <v>747.5</v>
      </c>
      <c r="V142" s="5">
        <v>27.8</v>
      </c>
      <c r="Y142" s="5"/>
      <c r="Z142" s="5"/>
      <c r="AA142" s="5"/>
      <c r="AB142" s="5"/>
      <c r="AC142" s="5"/>
      <c r="AD142" s="5"/>
    </row>
    <row r="143" spans="12:30" ht="15">
      <c r="L143" s="5">
        <v>1569</v>
      </c>
      <c r="M143" s="5">
        <v>1658</v>
      </c>
      <c r="N143" s="5">
        <v>1529</v>
      </c>
      <c r="O143" s="5">
        <v>1445</v>
      </c>
      <c r="P143" s="5">
        <v>1497</v>
      </c>
      <c r="Q143" s="5">
        <v>1212</v>
      </c>
      <c r="R143" s="5">
        <v>1456</v>
      </c>
      <c r="S143" s="5">
        <v>958.7</v>
      </c>
      <c r="T143">
        <v>1392</v>
      </c>
      <c r="U143">
        <v>685.6</v>
      </c>
      <c r="V143" s="5">
        <v>28</v>
      </c>
      <c r="Y143" s="5"/>
      <c r="Z143" s="5"/>
      <c r="AA143" s="5"/>
      <c r="AB143" s="5"/>
      <c r="AC143" s="5"/>
      <c r="AD143" s="5"/>
    </row>
    <row r="144" spans="12:30" ht="15">
      <c r="L144" s="5">
        <v>1941</v>
      </c>
      <c r="M144" s="5">
        <v>1708</v>
      </c>
      <c r="N144" s="5">
        <v>1869</v>
      </c>
      <c r="O144" s="5">
        <v>1454</v>
      </c>
      <c r="P144" s="5">
        <v>1799</v>
      </c>
      <c r="Q144" s="5">
        <v>1175</v>
      </c>
      <c r="R144" s="5">
        <v>1710</v>
      </c>
      <c r="S144" s="5">
        <v>876.8</v>
      </c>
      <c r="T144">
        <v>1584</v>
      </c>
      <c r="U144">
        <v>567.2</v>
      </c>
      <c r="V144" s="5">
        <v>28.2</v>
      </c>
      <c r="Y144" s="5"/>
      <c r="Z144" s="5"/>
      <c r="AA144" s="5"/>
      <c r="AB144" s="5"/>
      <c r="AC144" s="5"/>
      <c r="AD144" s="5"/>
    </row>
    <row r="145" spans="12:30" ht="15">
      <c r="L145" s="5">
        <v>2397</v>
      </c>
      <c r="M145" s="5">
        <v>1668</v>
      </c>
      <c r="N145" s="5">
        <v>2270</v>
      </c>
      <c r="O145" s="5">
        <v>1370</v>
      </c>
      <c r="P145" s="5">
        <v>2135</v>
      </c>
      <c r="Q145" s="5">
        <v>1046</v>
      </c>
      <c r="R145" s="5">
        <v>1969</v>
      </c>
      <c r="S145" s="5">
        <v>711.6</v>
      </c>
      <c r="T145">
        <v>1756</v>
      </c>
      <c r="U145">
        <v>384</v>
      </c>
      <c r="V145" s="5">
        <v>28.4</v>
      </c>
      <c r="Y145" s="5"/>
      <c r="Z145" s="5"/>
      <c r="AA145" s="5"/>
      <c r="AB145" s="5"/>
      <c r="AC145" s="5"/>
      <c r="AD145" s="5"/>
    </row>
    <row r="146" spans="12:30" ht="15">
      <c r="L146" s="5">
        <v>2919</v>
      </c>
      <c r="M146" s="5">
        <v>1471</v>
      </c>
      <c r="N146" s="5">
        <v>2703</v>
      </c>
      <c r="O146" s="5">
        <v>1142</v>
      </c>
      <c r="P146" s="5">
        <v>2468</v>
      </c>
      <c r="Q146" s="5">
        <v>791.9</v>
      </c>
      <c r="R146" s="5">
        <v>2195</v>
      </c>
      <c r="S146" s="5">
        <v>449.3</v>
      </c>
      <c r="T146">
        <v>1877</v>
      </c>
      <c r="U146">
        <v>140.2</v>
      </c>
      <c r="V146" s="5">
        <v>28.6</v>
      </c>
      <c r="Y146" s="5"/>
      <c r="Z146" s="5"/>
      <c r="AA146" s="5"/>
      <c r="AB146" s="5"/>
      <c r="AC146" s="5"/>
      <c r="AD146" s="5"/>
    </row>
    <row r="147" spans="12:30" ht="15">
      <c r="L147" s="5">
        <v>3435</v>
      </c>
      <c r="M147" s="5">
        <v>1046</v>
      </c>
      <c r="N147" s="5">
        <v>3096</v>
      </c>
      <c r="O147" s="5">
        <v>726.2</v>
      </c>
      <c r="P147" s="5">
        <v>2731</v>
      </c>
      <c r="Q147" s="5">
        <v>398</v>
      </c>
      <c r="R147" s="5">
        <v>2337</v>
      </c>
      <c r="S147" s="5">
        <v>100.2</v>
      </c>
      <c r="T147">
        <v>1920</v>
      </c>
      <c r="U147">
        <v>-141.5</v>
      </c>
      <c r="V147" s="5">
        <v>28.8</v>
      </c>
      <c r="Y147" s="5"/>
      <c r="Z147" s="5"/>
      <c r="AA147" s="5"/>
      <c r="AB147" s="5"/>
      <c r="AC147" s="5"/>
      <c r="AD147" s="5"/>
    </row>
    <row r="148" spans="12:30" ht="15">
      <c r="L148" s="5">
        <v>3800</v>
      </c>
      <c r="M148" s="5">
        <v>373.8</v>
      </c>
      <c r="N148" s="5">
        <v>3332</v>
      </c>
      <c r="O148" s="5">
        <v>134.1</v>
      </c>
      <c r="P148" s="5">
        <v>2845</v>
      </c>
      <c r="Q148" s="5">
        <v>-100.1</v>
      </c>
      <c r="R148" s="5">
        <v>2353</v>
      </c>
      <c r="S148" s="5">
        <v>-291.7</v>
      </c>
      <c r="T148">
        <v>1872</v>
      </c>
      <c r="U148">
        <v>-423.7</v>
      </c>
      <c r="V148" s="5">
        <v>29</v>
      </c>
      <c r="Y148" s="5"/>
      <c r="Z148" s="5"/>
      <c r="AA148" s="5"/>
      <c r="AB148" s="5"/>
      <c r="AC148" s="5"/>
      <c r="AD148" s="5"/>
    </row>
    <row r="149" spans="12:30" ht="15">
      <c r="L149" s="5">
        <v>3858</v>
      </c>
      <c r="M149" s="5">
        <v>-442</v>
      </c>
      <c r="N149" s="5">
        <v>3315</v>
      </c>
      <c r="O149" s="5">
        <v>-531.2</v>
      </c>
      <c r="P149" s="5">
        <v>2765</v>
      </c>
      <c r="Q149" s="5">
        <v>-612.7</v>
      </c>
      <c r="R149" s="5">
        <v>2236</v>
      </c>
      <c r="S149" s="5">
        <v>-661</v>
      </c>
      <c r="T149">
        <v>1745</v>
      </c>
      <c r="U149">
        <v>-668.3</v>
      </c>
      <c r="V149" s="5">
        <v>29.2</v>
      </c>
      <c r="Y149" s="5"/>
      <c r="Z149" s="5"/>
      <c r="AA149" s="5"/>
      <c r="AB149" s="5"/>
      <c r="AC149" s="5"/>
      <c r="AD149" s="5"/>
    </row>
    <row r="150" spans="12:30" ht="15">
      <c r="L150" s="5">
        <v>3570</v>
      </c>
      <c r="M150" s="5">
        <v>-1193</v>
      </c>
      <c r="N150" s="5">
        <v>3043</v>
      </c>
      <c r="O150" s="5">
        <v>-1117</v>
      </c>
      <c r="P150" s="5">
        <v>2515</v>
      </c>
      <c r="Q150" s="5">
        <v>-1040</v>
      </c>
      <c r="R150" s="5">
        <v>2017</v>
      </c>
      <c r="S150" s="5">
        <v>-952.3</v>
      </c>
      <c r="T150">
        <v>1565</v>
      </c>
      <c r="U150">
        <v>-851.1</v>
      </c>
      <c r="V150" s="5">
        <v>29.4</v>
      </c>
      <c r="Y150" s="5"/>
      <c r="Z150" s="5"/>
      <c r="AA150" s="5"/>
      <c r="AB150" s="5"/>
      <c r="AC150" s="5"/>
      <c r="AD150" s="5"/>
    </row>
    <row r="151" spans="12:30" ht="15">
      <c r="L151" s="5">
        <v>3058</v>
      </c>
      <c r="M151" s="5">
        <v>-1714</v>
      </c>
      <c r="N151" s="5">
        <v>2617</v>
      </c>
      <c r="O151" s="5">
        <v>-1517</v>
      </c>
      <c r="P151" s="5">
        <v>2170</v>
      </c>
      <c r="Q151" s="5">
        <v>-1326</v>
      </c>
      <c r="R151" s="5">
        <v>1749</v>
      </c>
      <c r="S151" s="5">
        <v>-1142</v>
      </c>
      <c r="T151">
        <v>1364</v>
      </c>
      <c r="U151">
        <v>-966.6</v>
      </c>
      <c r="V151" s="5">
        <v>29.6</v>
      </c>
      <c r="Y151" s="5"/>
      <c r="Z151" s="5"/>
      <c r="AA151" s="5"/>
      <c r="AB151" s="5"/>
      <c r="AC151" s="5"/>
      <c r="AD151" s="5"/>
    </row>
    <row r="152" spans="12:30" ht="15">
      <c r="L152" s="5">
        <v>2491</v>
      </c>
      <c r="M152" s="5">
        <v>-1974</v>
      </c>
      <c r="N152" s="5">
        <v>2155</v>
      </c>
      <c r="O152" s="5">
        <v>-1720</v>
      </c>
      <c r="P152" s="5">
        <v>1810</v>
      </c>
      <c r="Q152" s="5">
        <v>-1472</v>
      </c>
      <c r="R152" s="5">
        <v>1477</v>
      </c>
      <c r="S152" s="5">
        <v>-1239</v>
      </c>
      <c r="T152">
        <v>1167</v>
      </c>
      <c r="U152">
        <v>-1023</v>
      </c>
      <c r="V152" s="5">
        <v>29.8</v>
      </c>
      <c r="Y152" s="5"/>
      <c r="Z152" s="5"/>
      <c r="AA152" s="5"/>
      <c r="AB152" s="5"/>
      <c r="AC152" s="5"/>
      <c r="AD152" s="5"/>
    </row>
    <row r="153" spans="12:30" ht="15">
      <c r="L153" s="5">
        <v>1978</v>
      </c>
      <c r="M153" s="5">
        <v>-2037</v>
      </c>
      <c r="N153" s="5">
        <v>1736</v>
      </c>
      <c r="O153" s="5">
        <v>-1774</v>
      </c>
      <c r="P153" s="5">
        <v>1481</v>
      </c>
      <c r="Q153" s="5">
        <v>-1512</v>
      </c>
      <c r="R153" s="5">
        <v>1228</v>
      </c>
      <c r="S153" s="5">
        <v>-1264</v>
      </c>
      <c r="T153">
        <v>987.5</v>
      </c>
      <c r="U153">
        <v>-1035</v>
      </c>
      <c r="V153" s="5">
        <v>30</v>
      </c>
      <c r="Y153" s="5"/>
      <c r="Z153" s="5"/>
      <c r="AA153" s="5"/>
      <c r="AB153" s="5"/>
      <c r="AC153" s="5"/>
      <c r="AD153" s="5"/>
    </row>
    <row r="154" spans="25:30" ht="15">
      <c r="Y154" s="5"/>
      <c r="Z154" s="5"/>
      <c r="AA154" s="5"/>
      <c r="AB154" s="5"/>
      <c r="AC154" s="5"/>
      <c r="AD154" s="5"/>
    </row>
    <row r="155" spans="25:30" ht="15">
      <c r="Y155" s="5"/>
      <c r="Z155" s="5"/>
      <c r="AA155" s="5"/>
      <c r="AB155" s="5"/>
      <c r="AC155" s="5"/>
      <c r="AD155" s="5"/>
    </row>
    <row r="156" spans="25:30" ht="15">
      <c r="Y156" s="5"/>
      <c r="Z156" s="5"/>
      <c r="AA156" s="5"/>
      <c r="AB156" s="5"/>
      <c r="AC156" s="5"/>
      <c r="AD156" s="5"/>
    </row>
    <row r="157" spans="25:30" ht="15">
      <c r="Y157" s="5"/>
      <c r="Z157" s="5"/>
      <c r="AA157" s="5"/>
      <c r="AB157" s="5"/>
      <c r="AC157" s="5"/>
      <c r="AD157" s="5"/>
    </row>
    <row r="158" spans="25:30" ht="15">
      <c r="Y158" s="5"/>
      <c r="Z158" s="5"/>
      <c r="AA158" s="5"/>
      <c r="AB158" s="5"/>
      <c r="AC158" s="5"/>
      <c r="AD158" s="5"/>
    </row>
    <row r="159" spans="25:30" ht="15">
      <c r="Y159" s="5"/>
      <c r="Z159" s="5"/>
      <c r="AA159" s="5"/>
      <c r="AB159" s="5"/>
      <c r="AC159" s="5"/>
      <c r="AD159" s="5"/>
    </row>
    <row r="160" spans="25:30" ht="15">
      <c r="Y160" s="5"/>
      <c r="Z160" s="5"/>
      <c r="AA160" s="5"/>
      <c r="AB160" s="5"/>
      <c r="AC160" s="5"/>
      <c r="AD160" s="5"/>
    </row>
    <row r="161" spans="25:30" ht="15">
      <c r="Y161" s="5"/>
      <c r="Z161" s="5"/>
      <c r="AA161" s="5"/>
      <c r="AB161" s="5"/>
      <c r="AC161" s="5"/>
      <c r="AD161" s="5"/>
    </row>
    <row r="162" spans="25:30" ht="15">
      <c r="Y162" s="5"/>
      <c r="Z162" s="5"/>
      <c r="AA162" s="5"/>
      <c r="AB162" s="5"/>
      <c r="AC162" s="5"/>
      <c r="AD162" s="5"/>
    </row>
    <row r="163" spans="25:30" ht="15">
      <c r="Y163" s="5"/>
      <c r="Z163" s="5"/>
      <c r="AA163" s="5"/>
      <c r="AB163" s="5"/>
      <c r="AC163" s="5"/>
      <c r="AD163" s="5"/>
    </row>
    <row r="164" spans="25:30" ht="15">
      <c r="Y164" s="5"/>
      <c r="Z164" s="5"/>
      <c r="AA164" s="5"/>
      <c r="AB164" s="5"/>
      <c r="AC164" s="5"/>
      <c r="AD164" s="5"/>
    </row>
    <row r="165" spans="25:30" ht="15">
      <c r="Y165" s="5"/>
      <c r="Z165" s="5"/>
      <c r="AA165" s="5"/>
      <c r="AB165" s="5"/>
      <c r="AC165" s="5"/>
      <c r="AD165" s="5"/>
    </row>
    <row r="166" spans="25:30" ht="15">
      <c r="Y166" s="5"/>
      <c r="Z166" s="5"/>
      <c r="AA166" s="5"/>
      <c r="AB166" s="5"/>
      <c r="AC166" s="5"/>
      <c r="AD166" s="5"/>
    </row>
    <row r="167" spans="25:30" ht="15">
      <c r="Y167" s="5"/>
      <c r="Z167" s="5"/>
      <c r="AA167" s="5"/>
      <c r="AB167" s="5"/>
      <c r="AC167" s="5"/>
      <c r="AD167" s="5"/>
    </row>
    <row r="168" spans="25:30" ht="15">
      <c r="Y168" s="5"/>
      <c r="Z168" s="5"/>
      <c r="AA168" s="5"/>
      <c r="AB168" s="5"/>
      <c r="AC168" s="5"/>
      <c r="AD168" s="5"/>
    </row>
    <row r="169" spans="25:30" ht="15">
      <c r="Y169" s="5"/>
      <c r="Z169" s="5"/>
      <c r="AA169" s="5"/>
      <c r="AB169" s="5"/>
      <c r="AC169" s="5"/>
      <c r="AD169" s="5"/>
    </row>
    <row r="170" spans="25:30" ht="15">
      <c r="Y170" s="5"/>
      <c r="Z170" s="5"/>
      <c r="AA170" s="5"/>
      <c r="AB170" s="5"/>
      <c r="AC170" s="5"/>
      <c r="AD170" s="5"/>
    </row>
    <row r="171" spans="25:30" ht="15">
      <c r="Y171" s="5"/>
      <c r="Z171" s="5"/>
      <c r="AA171" s="5"/>
      <c r="AB171" s="5"/>
      <c r="AC171" s="5"/>
      <c r="AD171" s="5"/>
    </row>
    <row r="172" spans="25:30" ht="15">
      <c r="Y172" s="5"/>
      <c r="Z172" s="5"/>
      <c r="AA172" s="5"/>
      <c r="AB172" s="5"/>
      <c r="AC172" s="5"/>
      <c r="AD172" s="5"/>
    </row>
    <row r="173" spans="25:30" ht="15">
      <c r="Y173" s="5"/>
      <c r="Z173" s="5"/>
      <c r="AA173" s="5"/>
      <c r="AB173" s="5"/>
      <c r="AC173" s="5"/>
      <c r="AD173" s="5"/>
    </row>
    <row r="174" spans="25:30" ht="15">
      <c r="Y174" s="5"/>
      <c r="Z174" s="5"/>
      <c r="AA174" s="5"/>
      <c r="AB174" s="5"/>
      <c r="AC174" s="5"/>
      <c r="AD174" s="5"/>
    </row>
    <row r="175" spans="25:30" ht="15">
      <c r="Y175" s="5"/>
      <c r="Z175" s="5"/>
      <c r="AA175" s="5"/>
      <c r="AB175" s="5"/>
      <c r="AC175" s="5"/>
      <c r="AD175" s="5"/>
    </row>
    <row r="176" spans="25:30" ht="15">
      <c r="Y176" s="5"/>
      <c r="Z176" s="5"/>
      <c r="AA176" s="5"/>
      <c r="AB176" s="5"/>
      <c r="AC176" s="5"/>
      <c r="AD176" s="5"/>
    </row>
    <row r="177" spans="25:30" ht="15">
      <c r="Y177" s="5"/>
      <c r="Z177" s="5"/>
      <c r="AA177" s="5"/>
      <c r="AB177" s="5"/>
      <c r="AC177" s="5"/>
      <c r="AD177" s="5"/>
    </row>
    <row r="178" spans="25:30" ht="15">
      <c r="Y178" s="5"/>
      <c r="Z178" s="5"/>
      <c r="AA178" s="5"/>
      <c r="AB178" s="5"/>
      <c r="AC178" s="5"/>
      <c r="AD178" s="5"/>
    </row>
    <row r="179" spans="25:30" ht="15">
      <c r="Y179" s="5"/>
      <c r="Z179" s="5"/>
      <c r="AA179" s="5"/>
      <c r="AB179" s="5"/>
      <c r="AC179" s="5"/>
      <c r="AD179" s="5"/>
    </row>
    <row r="180" spans="25:30" ht="15">
      <c r="Y180" s="5"/>
      <c r="Z180" s="5"/>
      <c r="AA180" s="5"/>
      <c r="AB180" s="5"/>
      <c r="AC180" s="5"/>
      <c r="AD180" s="5"/>
    </row>
    <row r="181" spans="25:30" ht="15">
      <c r="Y181" s="5"/>
      <c r="Z181" s="5"/>
      <c r="AA181" s="5"/>
      <c r="AB181" s="5"/>
      <c r="AC181" s="5"/>
      <c r="AD181" s="5"/>
    </row>
    <row r="182" spans="25:30" ht="15">
      <c r="Y182" s="5"/>
      <c r="Z182" s="5"/>
      <c r="AA182" s="5"/>
      <c r="AB182" s="5"/>
      <c r="AC182" s="5"/>
      <c r="AD182" s="5"/>
    </row>
    <row r="183" spans="25:30" ht="15">
      <c r="Y183" s="5"/>
      <c r="Z183" s="5"/>
      <c r="AA183" s="5"/>
      <c r="AB183" s="5"/>
      <c r="AC183" s="5"/>
      <c r="AD183" s="5"/>
    </row>
    <row r="184" spans="25:30" ht="15">
      <c r="Y184" s="5"/>
      <c r="Z184" s="5"/>
      <c r="AA184" s="5"/>
      <c r="AB184" s="5"/>
      <c r="AC184" s="5"/>
      <c r="AD184" s="5"/>
    </row>
    <row r="185" spans="25:30" ht="15">
      <c r="Y185" s="5"/>
      <c r="Z185" s="5"/>
      <c r="AA185" s="5"/>
      <c r="AB185" s="5"/>
      <c r="AC185" s="5"/>
      <c r="AD185" s="5"/>
    </row>
    <row r="186" spans="25:30" ht="15">
      <c r="Y186" s="5"/>
      <c r="Z186" s="5"/>
      <c r="AA186" s="5"/>
      <c r="AB186" s="5"/>
      <c r="AC186" s="5"/>
      <c r="AD186" s="5"/>
    </row>
    <row r="187" spans="25:30" ht="15">
      <c r="Y187" s="5"/>
      <c r="Z187" s="5"/>
      <c r="AA187" s="5"/>
      <c r="AB187" s="5"/>
      <c r="AC187" s="5"/>
      <c r="AD187" s="5"/>
    </row>
    <row r="188" spans="25:30" ht="15">
      <c r="Y188" s="5"/>
      <c r="Z188" s="5"/>
      <c r="AA188" s="5"/>
      <c r="AB188" s="5"/>
      <c r="AC188" s="5"/>
      <c r="AD188" s="5"/>
    </row>
    <row r="189" spans="25:30" ht="15">
      <c r="Y189" s="5"/>
      <c r="Z189" s="5"/>
      <c r="AA189" s="5"/>
      <c r="AB189" s="5"/>
      <c r="AC189" s="5"/>
      <c r="AD189" s="5"/>
    </row>
    <row r="190" spans="25:30" ht="15">
      <c r="Y190" s="5"/>
      <c r="Z190" s="5"/>
      <c r="AA190" s="5"/>
      <c r="AB190" s="5"/>
      <c r="AC190" s="5"/>
      <c r="AD190" s="5"/>
    </row>
    <row r="191" spans="25:30" ht="15">
      <c r="Y191" s="5"/>
      <c r="Z191" s="5"/>
      <c r="AA191" s="5"/>
      <c r="AB191" s="5"/>
      <c r="AC191" s="5"/>
      <c r="AD191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3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5.00390625" style="0" customWidth="1"/>
    <col min="4" max="4" width="52.7109375" style="0" customWidth="1"/>
    <col min="5" max="5" width="3.140625" style="0" customWidth="1"/>
    <col min="6" max="7" width="28.57421875" style="0" customWidth="1"/>
    <col min="10" max="10" width="12.00390625" style="0" bestFit="1" customWidth="1"/>
  </cols>
  <sheetData>
    <row r="1" spans="1:7" ht="15">
      <c r="A1" t="s">
        <v>207</v>
      </c>
      <c r="F1" t="s">
        <v>196</v>
      </c>
      <c r="G1" t="s">
        <v>197</v>
      </c>
    </row>
    <row r="2" spans="1:7" ht="15">
      <c r="A2" s="5"/>
      <c r="G2" s="5"/>
    </row>
    <row r="3" spans="2:7" ht="15">
      <c r="B3" t="s">
        <v>143</v>
      </c>
      <c r="G3" s="5"/>
    </row>
    <row r="4" spans="3:7" ht="15">
      <c r="C4" s="5" t="s">
        <v>314</v>
      </c>
      <c r="D4" s="5" t="s">
        <v>213</v>
      </c>
      <c r="F4" t="str">
        <f>Zpar("10+10i","10+10i")</f>
        <v>5+5i</v>
      </c>
      <c r="G4" t="s">
        <v>198</v>
      </c>
    </row>
    <row r="5" spans="3:7" ht="15">
      <c r="C5" s="5" t="s">
        <v>295</v>
      </c>
      <c r="D5" s="5" t="s">
        <v>296</v>
      </c>
      <c r="F5" t="str">
        <f>Zser("2+2i","5+6i")</f>
        <v>7+8i</v>
      </c>
      <c r="G5" t="s">
        <v>300</v>
      </c>
    </row>
    <row r="6" spans="3:6" ht="15">
      <c r="C6" s="5" t="s">
        <v>297</v>
      </c>
      <c r="D6" s="5" t="s">
        <v>298</v>
      </c>
      <c r="E6" s="5" t="s">
        <v>293</v>
      </c>
      <c r="F6" s="5" t="s">
        <v>302</v>
      </c>
    </row>
    <row r="7" spans="3:13" ht="15">
      <c r="C7" s="5" t="s">
        <v>370</v>
      </c>
      <c r="D7" s="5" t="s">
        <v>299</v>
      </c>
      <c r="E7" s="5" t="s">
        <v>293</v>
      </c>
      <c r="F7" s="5" t="s">
        <v>371</v>
      </c>
      <c r="M7" s="5"/>
    </row>
    <row r="8" spans="3:7" ht="18">
      <c r="C8" s="5" t="s">
        <v>388</v>
      </c>
      <c r="D8" s="5" t="s">
        <v>397</v>
      </c>
      <c r="E8" s="5" t="s">
        <v>293</v>
      </c>
      <c r="F8" t="str">
        <f>Ztank(1*micro,3*pico,5,7)</f>
        <v>5.05854016301863+44.2356739551919i</v>
      </c>
      <c r="G8" s="5" t="s">
        <v>379</v>
      </c>
    </row>
    <row r="9" spans="3:7" ht="18">
      <c r="C9" s="5" t="s">
        <v>389</v>
      </c>
      <c r="D9" s="5" t="s">
        <v>466</v>
      </c>
      <c r="E9" s="5" t="s">
        <v>293</v>
      </c>
      <c r="F9">
        <f>Fresonance(4*micro,20*pico)</f>
        <v>17.794063585429445</v>
      </c>
      <c r="G9">
        <v>17.794063585429445</v>
      </c>
    </row>
    <row r="10" spans="3:7" ht="15">
      <c r="C10" s="5" t="s">
        <v>305</v>
      </c>
      <c r="D10" s="5" t="s">
        <v>307</v>
      </c>
      <c r="F10" s="5">
        <f>PfromVI("1+1i",1)</f>
        <v>1</v>
      </c>
      <c r="G10">
        <v>1</v>
      </c>
    </row>
    <row r="11" spans="3:11" ht="15">
      <c r="C11" s="5" t="s">
        <v>306</v>
      </c>
      <c r="D11" s="5" t="s">
        <v>309</v>
      </c>
      <c r="F11" s="5">
        <f>PfromVZ("1+1i",1)</f>
        <v>2</v>
      </c>
      <c r="G11">
        <v>2</v>
      </c>
      <c r="K11" s="5"/>
    </row>
    <row r="12" spans="3:11" ht="15">
      <c r="C12" s="5" t="s">
        <v>315</v>
      </c>
      <c r="D12" s="5" t="s">
        <v>308</v>
      </c>
      <c r="F12">
        <f>PfromIZ("1+1i",1)</f>
        <v>2</v>
      </c>
      <c r="G12">
        <v>2</v>
      </c>
      <c r="K12" s="5"/>
    </row>
    <row r="13" spans="3:7" ht="15">
      <c r="C13" t="s">
        <v>125</v>
      </c>
      <c r="D13" s="5" t="s">
        <v>214</v>
      </c>
      <c r="E13" s="5" t="s">
        <v>293</v>
      </c>
      <c r="F13">
        <f>AWG(14)</f>
        <v>0.0016273602984658206</v>
      </c>
      <c r="G13">
        <v>0.001627</v>
      </c>
    </row>
    <row r="14" spans="3:7" ht="15">
      <c r="C14" t="s">
        <v>126</v>
      </c>
      <c r="D14" s="5" t="s">
        <v>278</v>
      </c>
      <c r="E14" s="5" t="s">
        <v>293</v>
      </c>
      <c r="F14">
        <f>GaugeNumber(F13)</f>
        <v>13.999999222763627</v>
      </c>
      <c r="G14">
        <v>14</v>
      </c>
    </row>
    <row r="15" ht="15">
      <c r="B15" t="s">
        <v>127</v>
      </c>
    </row>
    <row r="16" spans="3:7" ht="18">
      <c r="C16" s="5" t="s">
        <v>310</v>
      </c>
      <c r="D16" s="5" t="s">
        <v>408</v>
      </c>
      <c r="F16" t="str">
        <f>EfromVF(0.66)</f>
        <v>2.29568411386593</v>
      </c>
      <c r="G16" t="s">
        <v>312</v>
      </c>
    </row>
    <row r="17" spans="3:7" ht="18">
      <c r="C17" s="5" t="s">
        <v>311</v>
      </c>
      <c r="D17" s="5" t="s">
        <v>304</v>
      </c>
      <c r="F17" t="str">
        <f>VFfromE(F16)</f>
        <v>0.660000000000002</v>
      </c>
      <c r="G17" s="3" t="s">
        <v>313</v>
      </c>
    </row>
    <row r="18" spans="3:7" ht="18">
      <c r="C18" t="s">
        <v>128</v>
      </c>
      <c r="D18" s="5" t="s">
        <v>279</v>
      </c>
      <c r="F18" t="str">
        <f>ZfromLC(F20,F21)</f>
        <v>300</v>
      </c>
      <c r="G18" s="3" t="s">
        <v>200</v>
      </c>
    </row>
    <row r="19" spans="3:7" ht="15">
      <c r="C19" t="s">
        <v>129</v>
      </c>
      <c r="D19" s="5" t="s">
        <v>215</v>
      </c>
      <c r="F19" t="str">
        <f>VFfromLC(F20,F21)</f>
        <v>1</v>
      </c>
      <c r="G19" s="3" t="s">
        <v>469</v>
      </c>
    </row>
    <row r="20" spans="3:7" ht="18">
      <c r="C20" t="s">
        <v>130</v>
      </c>
      <c r="D20" s="5" t="s">
        <v>281</v>
      </c>
      <c r="F20" t="str">
        <f>LfromZvf(G18,G19)</f>
        <v>1.00069214540057E-06</v>
      </c>
      <c r="G20" t="s">
        <v>467</v>
      </c>
    </row>
    <row r="21" spans="3:7" ht="18">
      <c r="C21" t="s">
        <v>131</v>
      </c>
      <c r="D21" s="5" t="s">
        <v>280</v>
      </c>
      <c r="F21" t="str">
        <f>CfromZvf(G18,G19)</f>
        <v>1.11188016155619E-11</v>
      </c>
      <c r="G21" t="s">
        <v>468</v>
      </c>
    </row>
    <row r="22" spans="3:7" ht="15">
      <c r="C22" t="s">
        <v>132</v>
      </c>
      <c r="D22" s="5" t="s">
        <v>216</v>
      </c>
      <c r="F22" t="str">
        <f>CfromLvf(F20,F19)</f>
        <v>1.11188016155619E-11</v>
      </c>
      <c r="G22" t="s">
        <v>468</v>
      </c>
    </row>
    <row r="23" spans="3:7" ht="18">
      <c r="C23" t="s">
        <v>133</v>
      </c>
      <c r="D23" s="5" t="s">
        <v>282</v>
      </c>
      <c r="F23" t="str">
        <f>ZfromLvf(F20,F19)</f>
        <v>300</v>
      </c>
      <c r="G23" t="s">
        <v>200</v>
      </c>
    </row>
    <row r="24" spans="3:7" ht="18">
      <c r="C24" t="s">
        <v>199</v>
      </c>
      <c r="D24" s="5" t="s">
        <v>283</v>
      </c>
      <c r="F24" t="str">
        <f>CfromLZ(F20,F18)</f>
        <v>1.11188016155619E-11</v>
      </c>
      <c r="G24" s="5" t="s">
        <v>468</v>
      </c>
    </row>
    <row r="25" spans="3:7" ht="18">
      <c r="C25" t="s">
        <v>134</v>
      </c>
      <c r="D25" s="5" t="s">
        <v>284</v>
      </c>
      <c r="F25" t="str">
        <f>VFfromLZ(F20,F18)</f>
        <v>1</v>
      </c>
      <c r="G25" t="s">
        <v>469</v>
      </c>
    </row>
    <row r="26" spans="3:7" ht="15">
      <c r="C26" t="s">
        <v>135</v>
      </c>
      <c r="D26" s="5" t="s">
        <v>217</v>
      </c>
      <c r="F26" t="str">
        <f>LfromCvf(F21,F19)</f>
        <v>1.00069214540057E-06</v>
      </c>
      <c r="G26" t="s">
        <v>467</v>
      </c>
    </row>
    <row r="27" spans="3:7" ht="18">
      <c r="C27" s="5" t="s">
        <v>218</v>
      </c>
      <c r="D27" s="5" t="s">
        <v>285</v>
      </c>
      <c r="F27" t="str">
        <f>ZfromCvf(F21,F19)</f>
        <v>299.999999999999</v>
      </c>
      <c r="G27" s="3" t="s">
        <v>200</v>
      </c>
    </row>
    <row r="28" spans="3:7" ht="18">
      <c r="C28" t="s">
        <v>136</v>
      </c>
      <c r="D28" s="5" t="s">
        <v>286</v>
      </c>
      <c r="F28" t="str">
        <f>LfromCZ(F21,F18)</f>
        <v>1.00069214540057E-06</v>
      </c>
      <c r="G28" t="s">
        <v>467</v>
      </c>
    </row>
    <row r="29" spans="3:7" ht="18">
      <c r="C29" t="s">
        <v>137</v>
      </c>
      <c r="D29" s="5" t="s">
        <v>287</v>
      </c>
      <c r="F29" t="str">
        <f>VFfromCZ(F21,F18)</f>
        <v>1</v>
      </c>
      <c r="G29" s="3" t="s">
        <v>469</v>
      </c>
    </row>
    <row r="30" spans="3:7" ht="18">
      <c r="C30" s="5" t="s">
        <v>145</v>
      </c>
      <c r="D30" s="5" t="s">
        <v>478</v>
      </c>
      <c r="E30" s="5" t="s">
        <v>293</v>
      </c>
      <c r="F30">
        <f>SkinDepth(10,ρCu,1)</f>
        <v>2.089783796937825E-05</v>
      </c>
      <c r="G30">
        <v>2.089783796937825E-05</v>
      </c>
    </row>
    <row r="31" spans="3:7" ht="15">
      <c r="C31" t="s">
        <v>138</v>
      </c>
      <c r="D31" s="5" t="s">
        <v>475</v>
      </c>
      <c r="E31" s="5" t="s">
        <v>293</v>
      </c>
      <c r="F31">
        <f>Ltwin(0.01,0.0614)</f>
        <v>1.0005094402881493E-06</v>
      </c>
      <c r="G31">
        <v>1.0005094402881493E-06</v>
      </c>
    </row>
    <row r="32" spans="3:7" ht="15">
      <c r="C32" s="5" t="s">
        <v>410</v>
      </c>
      <c r="D32" s="5" t="s">
        <v>476</v>
      </c>
      <c r="E32" s="5" t="s">
        <v>293</v>
      </c>
      <c r="F32">
        <f>Ltwinlead(0.001,0.006,1,ρCu)</f>
        <v>1.0172107659542137E-06</v>
      </c>
      <c r="G32">
        <v>1.0172107659542137E-06</v>
      </c>
    </row>
    <row r="33" spans="3:7" ht="15">
      <c r="C33" t="s">
        <v>139</v>
      </c>
      <c r="D33" s="5" t="s">
        <v>477</v>
      </c>
      <c r="E33" s="5" t="s">
        <v>293</v>
      </c>
      <c r="F33" t="str">
        <f>Ctwin(1,6.14,1)</f>
        <v>1.11208320430794E-11</v>
      </c>
      <c r="G33" t="s">
        <v>203</v>
      </c>
    </row>
    <row r="34" spans="3:7" ht="18">
      <c r="C34" s="5" t="s">
        <v>509</v>
      </c>
      <c r="D34" s="5" t="s">
        <v>510</v>
      </c>
      <c r="E34" s="5" t="s">
        <v>293</v>
      </c>
      <c r="F34" t="str">
        <f>Ztwin(1,6.15,1)</f>
        <v>300.143008508391</v>
      </c>
      <c r="G34" s="3" t="s">
        <v>200</v>
      </c>
    </row>
    <row r="35" spans="3:7" ht="18">
      <c r="C35" s="5" t="s">
        <v>412</v>
      </c>
      <c r="D35" s="5" t="s">
        <v>411</v>
      </c>
      <c r="E35" s="5" t="s">
        <v>293</v>
      </c>
      <c r="F35">
        <f>Rtwinlead(0.01,0.02,100,ρCu)</f>
        <v>0.19439706022247571</v>
      </c>
      <c r="G35" s="5">
        <v>0.19439706022247571</v>
      </c>
    </row>
    <row r="36" spans="3:7" ht="15">
      <c r="C36" t="s">
        <v>140</v>
      </c>
      <c r="D36" s="5" t="s">
        <v>479</v>
      </c>
      <c r="E36" s="5" t="s">
        <v>293</v>
      </c>
      <c r="F36">
        <f>TwinSep(1,TLextract(LL300,0))</f>
        <v>6.142767718421791</v>
      </c>
      <c r="G36">
        <f>6.101796174</f>
        <v>6.101796174</v>
      </c>
    </row>
    <row r="37" spans="3:9" ht="15">
      <c r="C37" t="s">
        <v>141</v>
      </c>
      <c r="D37" s="5" t="s">
        <v>479</v>
      </c>
      <c r="E37" s="5" t="s">
        <v>293</v>
      </c>
      <c r="F37">
        <f>TwinSepTL(1,LL300)</f>
        <v>6.142767718421791</v>
      </c>
      <c r="G37">
        <f>6.101796174</f>
        <v>6.101796174</v>
      </c>
      <c r="I37" s="5" t="s">
        <v>316</v>
      </c>
    </row>
    <row r="38" spans="3:9" ht="18">
      <c r="C38" s="5" t="s">
        <v>483</v>
      </c>
      <c r="D38" s="5" t="s">
        <v>482</v>
      </c>
      <c r="E38" s="5" t="s">
        <v>293</v>
      </c>
      <c r="F38" s="5">
        <f>Lcoaxial(0.25,1,0.1,ρCu,ρCu,1,1,1,0.01)</f>
        <v>2.77872494364742E-07</v>
      </c>
      <c r="G38">
        <v>2.77872494364742E-07</v>
      </c>
      <c r="I38" s="5" t="s">
        <v>317</v>
      </c>
    </row>
    <row r="39" spans="3:7" ht="18">
      <c r="C39" t="s">
        <v>146</v>
      </c>
      <c r="D39" s="5" t="s">
        <v>481</v>
      </c>
      <c r="E39" s="5" t="s">
        <v>293</v>
      </c>
      <c r="F39" s="5">
        <f>Lcoax(0.5,1)</f>
        <v>1.3863241560321368E-07</v>
      </c>
      <c r="G39">
        <v>1.386303219573165E-07</v>
      </c>
    </row>
    <row r="40" spans="3:7" ht="18">
      <c r="C40" t="s">
        <v>147</v>
      </c>
      <c r="D40" s="5" t="s">
        <v>480</v>
      </c>
      <c r="E40" s="5" t="s">
        <v>293</v>
      </c>
      <c r="F40" s="3" t="str">
        <f>Ccoax(0.5,1,εPE)</f>
        <v>1.5713640154264E-11</v>
      </c>
      <c r="G40" t="s">
        <v>265</v>
      </c>
    </row>
    <row r="41" spans="3:7" ht="18">
      <c r="C41" t="s">
        <v>148</v>
      </c>
      <c r="D41" s="5" t="s">
        <v>484</v>
      </c>
      <c r="E41" s="5" t="s">
        <v>293</v>
      </c>
      <c r="F41">
        <f>CoaxDiam(AWG(14),TLextract(LL75,0))</f>
        <v>0.010828802997522665</v>
      </c>
      <c r="G41">
        <v>0.010828802997522665</v>
      </c>
    </row>
    <row r="42" spans="3:7" ht="18">
      <c r="C42" t="s">
        <v>149</v>
      </c>
      <c r="D42" s="5" t="s">
        <v>219</v>
      </c>
      <c r="E42" s="5" t="s">
        <v>293</v>
      </c>
      <c r="F42">
        <f>RwireDC(AWG(18),ρCu)</f>
        <v>0.02095970362091934</v>
      </c>
      <c r="G42">
        <f>0.020959704</f>
        <v>0.020959704</v>
      </c>
    </row>
    <row r="43" spans="3:7" ht="18">
      <c r="C43" t="s">
        <v>150</v>
      </c>
      <c r="D43" s="5" t="s">
        <v>220</v>
      </c>
      <c r="E43" s="5" t="s">
        <v>293</v>
      </c>
      <c r="F43">
        <f>RshieldDC(0.003,0.001,ρCu)</f>
        <v>0.0018293269158982466</v>
      </c>
      <c r="G43">
        <f>0.001829327</f>
        <v>0.001829327</v>
      </c>
    </row>
    <row r="44" spans="3:7" ht="18">
      <c r="C44" t="s">
        <v>151</v>
      </c>
      <c r="D44" s="5" t="s">
        <v>221</v>
      </c>
      <c r="E44" s="5" t="s">
        <v>293</v>
      </c>
      <c r="F44">
        <f>RwireAC(100,AWG(20),ρCu)</f>
        <v>1.0322136649769338</v>
      </c>
      <c r="G44">
        <v>1.0322136649769338</v>
      </c>
    </row>
    <row r="45" spans="3:7" ht="18">
      <c r="C45" t="s">
        <v>152</v>
      </c>
      <c r="D45" s="5" t="s">
        <v>222</v>
      </c>
      <c r="E45" s="5" t="s">
        <v>293</v>
      </c>
      <c r="F45">
        <f>RshieldAC(100,0.1,0.01,ρCu)</f>
        <v>0.008304456634843724</v>
      </c>
      <c r="G45">
        <v>0.008304456634843724</v>
      </c>
    </row>
    <row r="46" spans="3:7" ht="18">
      <c r="C46" t="s">
        <v>153</v>
      </c>
      <c r="D46" s="5" t="s">
        <v>223</v>
      </c>
      <c r="E46" s="5" t="s">
        <v>293</v>
      </c>
      <c r="F46" s="5">
        <f>setGp(tanδPE,εPE,RG35U)</f>
        <v>2.78652194964002E-06</v>
      </c>
      <c r="G46">
        <v>2.78652194964001E-06</v>
      </c>
    </row>
    <row r="47" spans="2:8" ht="15">
      <c r="B47" t="s">
        <v>142</v>
      </c>
      <c r="F47" s="5"/>
      <c r="G47" s="5"/>
      <c r="H47" s="5"/>
    </row>
    <row r="48" spans="3:7" ht="15">
      <c r="C48" t="s">
        <v>144</v>
      </c>
      <c r="D48" s="5" t="s">
        <v>242</v>
      </c>
      <c r="F48" t="str">
        <f>DefineLosslessLine(300,1)</f>
        <v>1.00069214540057E-06,1.11188016155619E-11,0,0,0,0</v>
      </c>
      <c r="G48" t="s">
        <v>257</v>
      </c>
    </row>
    <row r="49" spans="3:7" ht="18">
      <c r="C49" t="s">
        <v>155</v>
      </c>
      <c r="D49" s="5" t="s">
        <v>226</v>
      </c>
      <c r="F49" t="str">
        <f>DefineLossyLine(300,1,2,3,4,5)</f>
        <v>1.00069214540057E-06,1.11188016155619E-11,2,3,4,5</v>
      </c>
      <c r="G49" t="s">
        <v>258</v>
      </c>
    </row>
    <row r="50" spans="3:7" ht="18">
      <c r="C50" t="s">
        <v>156</v>
      </c>
      <c r="D50" s="5" t="s">
        <v>227</v>
      </c>
      <c r="E50" s="5" t="s">
        <v>293</v>
      </c>
      <c r="F50" s="5" t="str">
        <f>DefineTwinleadZo(300,1,ρCu,0.1,tanδAIR,εAIR)</f>
        <v>1.00069214540057E-06,1.11188016155619E-11,4.39038459815579E-06,5.27182060618551E-03,0,0</v>
      </c>
      <c r="G50" t="s">
        <v>259</v>
      </c>
    </row>
    <row r="51" spans="3:7" ht="18">
      <c r="C51" t="s">
        <v>157</v>
      </c>
      <c r="D51" s="5" t="s">
        <v>227</v>
      </c>
      <c r="E51" s="5" t="s">
        <v>293</v>
      </c>
      <c r="F51" s="5" t="str">
        <f>DefineTwinlead(0.95,ρCu,0.1,1,tanδPE,εPE)</f>
        <v>1.19728913845055E-06,1.02970357173915E-11,4.39038459815579E-06,5.22147763156361E-03,0,3.55024866541023E-08</v>
      </c>
      <c r="G51" t="s">
        <v>260</v>
      </c>
    </row>
    <row r="52" spans="3:7" ht="18">
      <c r="C52" t="s">
        <v>158</v>
      </c>
      <c r="D52" s="5" t="s">
        <v>228</v>
      </c>
      <c r="E52" s="5" t="s">
        <v>293</v>
      </c>
      <c r="F52" s="5" t="str">
        <f>DefineCoaxZo(75,0.66,ρCu,0.2,ρCu,0.01,tanδPE,εPE)</f>
        <v>3.79050055075973E-07,6.73866764579508E-11,9.61166920596032E-07,1.74336716223437E-03,0,2.78652194964002E-06</v>
      </c>
      <c r="G52" t="s">
        <v>261</v>
      </c>
    </row>
    <row r="53" spans="3:7" ht="18">
      <c r="C53" t="s">
        <v>159</v>
      </c>
      <c r="D53" s="5" t="s">
        <v>228</v>
      </c>
      <c r="E53" s="5" t="s">
        <v>293</v>
      </c>
      <c r="F53" s="5" t="str">
        <f>DefineCoax(0.82,0.01,ρCu,0.1,ρCu,0.2,0.01,tanδPE,εPE)</f>
        <v>1.4255070429242E-07,1.16081069385741E-10,4.93918267292526E-06,4.32034980641115E-03,0,1.80495682930837E-06</v>
      </c>
      <c r="G53" t="s">
        <v>262</v>
      </c>
    </row>
    <row r="54" spans="3:7" ht="18">
      <c r="C54" t="s">
        <v>154</v>
      </c>
      <c r="D54" s="5" t="s">
        <v>289</v>
      </c>
      <c r="E54" s="5"/>
      <c r="F54" t="str">
        <f>Zcharacteristic(LL75)</f>
        <v>75</v>
      </c>
      <c r="G54" t="s">
        <v>301</v>
      </c>
    </row>
    <row r="55" spans="3:7" ht="15">
      <c r="C55" t="s">
        <v>194</v>
      </c>
      <c r="D55" s="5" t="s">
        <v>224</v>
      </c>
      <c r="F55" t="str">
        <f>TLextract("00,11,22,33,44,55",2)</f>
        <v>22</v>
      </c>
      <c r="G55" s="3" t="s">
        <v>202</v>
      </c>
    </row>
    <row r="56" spans="3:7" ht="15">
      <c r="C56" t="s">
        <v>195</v>
      </c>
      <c r="D56" s="5" t="s">
        <v>225</v>
      </c>
      <c r="E56" s="5"/>
      <c r="F56" t="str">
        <f>TLmodify("00,11,22,33,44,55",3,1,4)</f>
        <v>00,11,22,37,44,55</v>
      </c>
      <c r="G56" s="3" t="s">
        <v>201</v>
      </c>
    </row>
    <row r="57" ht="15">
      <c r="B57" t="s">
        <v>160</v>
      </c>
    </row>
    <row r="58" spans="3:7" ht="15">
      <c r="C58" s="5" t="s">
        <v>485</v>
      </c>
      <c r="D58" s="5" t="s">
        <v>229</v>
      </c>
      <c r="E58" s="5" t="s">
        <v>294</v>
      </c>
      <c r="F58" t="str">
        <f>LineVout(LL300,1,80,10,".1+.1i")</f>
        <v>28.7751827416119-29.8320001466748i</v>
      </c>
      <c r="G58" t="s">
        <v>263</v>
      </c>
    </row>
    <row r="59" spans="3:5" ht="15">
      <c r="C59" s="5" t="s">
        <v>486</v>
      </c>
      <c r="D59" s="5" t="s">
        <v>230</v>
      </c>
      <c r="E59" s="5" t="s">
        <v>294</v>
      </c>
    </row>
    <row r="60" spans="3:5" ht="15">
      <c r="C60" s="5" t="s">
        <v>487</v>
      </c>
      <c r="D60" s="5" t="s">
        <v>231</v>
      </c>
      <c r="E60" s="5" t="s">
        <v>294</v>
      </c>
    </row>
    <row r="61" spans="3:5" ht="15">
      <c r="C61" s="5" t="s">
        <v>488</v>
      </c>
      <c r="D61" s="5" t="s">
        <v>232</v>
      </c>
      <c r="E61" s="5" t="s">
        <v>294</v>
      </c>
    </row>
    <row r="62" spans="3:7" ht="15">
      <c r="C62" t="s">
        <v>161</v>
      </c>
      <c r="D62" s="5" t="s">
        <v>233</v>
      </c>
      <c r="E62" s="5" t="s">
        <v>294</v>
      </c>
      <c r="F62" t="str">
        <f>LineZ(LL300,5*mpf,200,75)</f>
        <v>75.7796304693245+29.605345029595i</v>
      </c>
      <c r="G62" t="s">
        <v>264</v>
      </c>
    </row>
    <row r="63" spans="3:7" ht="15">
      <c r="C63" s="5" t="s">
        <v>211</v>
      </c>
      <c r="D63" s="5" t="s">
        <v>234</v>
      </c>
      <c r="E63" s="5" t="s">
        <v>294</v>
      </c>
      <c r="F63" t="str">
        <f>DelayLineBalunZun(LL300,0.3,500,300)</f>
        <v>74.9999778366243+0.122312248684327i</v>
      </c>
      <c r="G63">
        <v>75</v>
      </c>
    </row>
    <row r="64" spans="3:7" ht="15">
      <c r="C64" s="5" t="s">
        <v>212</v>
      </c>
      <c r="D64" s="5" t="s">
        <v>234</v>
      </c>
      <c r="E64" s="5" t="s">
        <v>294</v>
      </c>
      <c r="F64" t="str">
        <f>DelayLineBalunZbal(LL300,0.3,500,F63)</f>
        <v>300.000000000001-9.47391434206742E-17i</v>
      </c>
      <c r="G64">
        <v>300</v>
      </c>
    </row>
    <row r="65" spans="1:7" ht="15">
      <c r="A65" s="5"/>
      <c r="C65" t="s">
        <v>162</v>
      </c>
      <c r="D65" s="5" t="s">
        <v>396</v>
      </c>
      <c r="F65" t="str">
        <f>reflect(300,600)</f>
        <v>0.333333333333333</v>
      </c>
      <c r="G65">
        <v>0.3333333333333</v>
      </c>
    </row>
    <row r="66" spans="3:7" ht="15">
      <c r="C66" s="5" t="s">
        <v>383</v>
      </c>
      <c r="D66" s="5" t="s">
        <v>384</v>
      </c>
      <c r="F66" t="str">
        <f>InverseReflect(300,F65)</f>
        <v>599.999999999997</v>
      </c>
      <c r="G66">
        <v>600</v>
      </c>
    </row>
    <row r="67" spans="3:7" ht="15">
      <c r="C67" s="5" t="s">
        <v>394</v>
      </c>
      <c r="D67" s="5" t="s">
        <v>395</v>
      </c>
      <c r="F67" t="str">
        <f>CurrentReflect(300,600)</f>
        <v>-0.333333333333333</v>
      </c>
      <c r="G67">
        <v>-0.333333333</v>
      </c>
    </row>
    <row r="68" spans="3:7" ht="15">
      <c r="C68" t="s">
        <v>163</v>
      </c>
      <c r="D68" s="5" t="s">
        <v>235</v>
      </c>
      <c r="F68">
        <f>VSWR(300,600)</f>
        <v>1.9999999999999987</v>
      </c>
      <c r="G68">
        <f>2</f>
        <v>2</v>
      </c>
    </row>
    <row r="69" spans="3:4" ht="15">
      <c r="C69" t="s">
        <v>164</v>
      </c>
      <c r="D69" s="5" t="s">
        <v>238</v>
      </c>
    </row>
    <row r="70" spans="3:7" ht="15">
      <c r="C70" t="s">
        <v>165</v>
      </c>
      <c r="D70" s="5" t="s">
        <v>290</v>
      </c>
      <c r="F70" s="5">
        <f>LineInsertionLoss(RG35U,40,100,50)</f>
        <v>-1.3109535829620267</v>
      </c>
      <c r="G70">
        <v>-1.315</v>
      </c>
    </row>
    <row r="71" spans="3:7" ht="15">
      <c r="C71" t="s">
        <v>166</v>
      </c>
      <c r="D71" s="5" t="s">
        <v>236</v>
      </c>
      <c r="F71">
        <f>LineRejectionLoss(300,150)</f>
        <v>-0.5115252244738121</v>
      </c>
      <c r="G71">
        <v>-0.512</v>
      </c>
    </row>
    <row r="72" spans="3:7" ht="15">
      <c r="C72" t="s">
        <v>167</v>
      </c>
      <c r="D72" s="5" t="s">
        <v>239</v>
      </c>
      <c r="F72" s="5">
        <f>LineReturnLoss(300,150)</f>
        <v>-9.542425094393257</v>
      </c>
      <c r="G72">
        <v>-9.54</v>
      </c>
    </row>
    <row r="73" spans="3:7" ht="18">
      <c r="C73" s="5" t="s">
        <v>168</v>
      </c>
      <c r="D73" s="5" t="s">
        <v>240</v>
      </c>
      <c r="E73" s="5" t="s">
        <v>293</v>
      </c>
      <c r="F73" s="5">
        <f>fCOcoax(0.001,0.003,2)</f>
        <v>33.738509901441184</v>
      </c>
      <c r="G73">
        <v>33.739</v>
      </c>
    </row>
    <row r="74" ht="15">
      <c r="B74" t="s">
        <v>169</v>
      </c>
    </row>
    <row r="75" spans="3:7" ht="15">
      <c r="C75" t="s">
        <v>170</v>
      </c>
      <c r="D75" s="5" t="s">
        <v>237</v>
      </c>
      <c r="F75" s="5" t="str">
        <f>Belden8215</f>
        <v>3.79050055075973E-07,6.73866764579508E-11,0.0364173228345,0.406679588282308,0,2.78652194964002E-06</v>
      </c>
      <c r="G75" t="s">
        <v>255</v>
      </c>
    </row>
    <row r="76" spans="3:7" ht="15">
      <c r="C76" s="5" t="s">
        <v>171</v>
      </c>
      <c r="D76" s="5" t="s">
        <v>241</v>
      </c>
      <c r="E76" s="5" t="s">
        <v>293</v>
      </c>
      <c r="F76" s="5" t="str">
        <f>Belden9913</f>
        <v>1.98550028849319E-07,7.94200115397277E-11,0.0088582677165,0.153084639613528,0,1.05754388167296E-06</v>
      </c>
      <c r="G76" t="s">
        <v>256</v>
      </c>
    </row>
    <row r="77" ht="15">
      <c r="B77" t="s">
        <v>172</v>
      </c>
    </row>
    <row r="78" spans="3:7" ht="15">
      <c r="C78" t="s">
        <v>173</v>
      </c>
      <c r="D78" s="5" t="s">
        <v>244</v>
      </c>
      <c r="E78" s="5" t="s">
        <v>293</v>
      </c>
      <c r="F78" s="5" t="str">
        <f>TwinleadUnequal(0.1,0.2,0.5,0.8)</f>
        <v>7.7259161642735E-07,2.25023827400794E-11,0,0,0,0</v>
      </c>
      <c r="G78" t="s">
        <v>493</v>
      </c>
    </row>
    <row r="79" spans="3:7" ht="15">
      <c r="C79" t="s">
        <v>174</v>
      </c>
      <c r="D79" s="5" t="s">
        <v>245</v>
      </c>
      <c r="E79" s="5" t="s">
        <v>293</v>
      </c>
      <c r="F79" s="5" t="str">
        <f>TwinleadNearGround(0.1,0.5,0.2,0.7)</f>
        <v>1.10875226905545E-06,2.04799018432116E-11,0,0,0,0</v>
      </c>
      <c r="G79" t="s">
        <v>494</v>
      </c>
    </row>
    <row r="80" spans="3:7" ht="15">
      <c r="C80" t="s">
        <v>175</v>
      </c>
      <c r="D80" s="5" t="s">
        <v>246</v>
      </c>
      <c r="E80" s="5" t="s">
        <v>293</v>
      </c>
      <c r="F80" t="str">
        <f>TwinleadNearGroundUnequal(0.1,0.5,0.2,0.4,0.9)</f>
        <v>1.03605004486322E-06,1.32584489179384E-11,0,0,0,0</v>
      </c>
      <c r="G80" t="s">
        <v>495</v>
      </c>
    </row>
    <row r="81" spans="3:7" ht="15">
      <c r="C81" t="s">
        <v>176</v>
      </c>
      <c r="D81" s="5" t="s">
        <v>247</v>
      </c>
      <c r="E81" s="5" t="s">
        <v>293</v>
      </c>
      <c r="F81" s="5" t="str">
        <f>ShieldedTwinlead(0.5,0.1,0.25,0.66)</f>
        <v>4.39749075244288E-07,5.80852237348846E-11,0,0,0,0</v>
      </c>
      <c r="G81" t="s">
        <v>496</v>
      </c>
    </row>
    <row r="82" spans="3:7" ht="15">
      <c r="C82" t="s">
        <v>177</v>
      </c>
      <c r="D82" s="5" t="s">
        <v>248</v>
      </c>
      <c r="E82" s="5" t="s">
        <v>293</v>
      </c>
      <c r="F82" s="5" t="str">
        <f>DoubleWithShieldReturn(0.5,0.1,0.25,0.66)</f>
        <v>1.54423304021176E-07,1.65408476296235E-10,0,0,0,0</v>
      </c>
      <c r="G82" t="s">
        <v>497</v>
      </c>
    </row>
    <row r="83" spans="3:5" ht="15">
      <c r="C83" t="s">
        <v>178</v>
      </c>
      <c r="D83" s="5" t="s">
        <v>269</v>
      </c>
      <c r="E83" s="5" t="s">
        <v>293</v>
      </c>
    </row>
    <row r="84" spans="3:7" ht="15">
      <c r="C84" t="s">
        <v>179</v>
      </c>
      <c r="D84" s="5" t="s">
        <v>249</v>
      </c>
      <c r="E84" s="5" t="s">
        <v>293</v>
      </c>
      <c r="F84" s="5" t="str">
        <f>SquareCoax(0.1,0.5,0.77)</f>
        <v>3.33546788499682E-07,5.62626596942449E-11,0,0,0,0</v>
      </c>
      <c r="G84" t="s">
        <v>498</v>
      </c>
    </row>
    <row r="85" spans="3:7" ht="15">
      <c r="C85" t="s">
        <v>180</v>
      </c>
      <c r="D85" s="5" t="s">
        <v>250</v>
      </c>
      <c r="E85" s="5" t="s">
        <v>293</v>
      </c>
      <c r="F85" s="5" t="str">
        <f>OffCenterCoax(0.5,0.1,0.1,0.8)</f>
        <v>2.8528070777033E-07,6.09405115070769E-11,0,0,0,0</v>
      </c>
      <c r="G85" t="s">
        <v>499</v>
      </c>
    </row>
    <row r="86" spans="3:7" ht="15">
      <c r="C86" t="s">
        <v>181</v>
      </c>
      <c r="D86" s="5" t="s">
        <v>251</v>
      </c>
      <c r="E86" s="5" t="s">
        <v>293</v>
      </c>
      <c r="F86" s="5" t="str">
        <f>WireAbovePlane(0.1,0.3,0.9)</f>
        <v>4.9676697033639E-07,2.7651630274342E-11,0,0,0,0</v>
      </c>
      <c r="G86" t="s">
        <v>500</v>
      </c>
    </row>
    <row r="87" spans="3:7" ht="15">
      <c r="C87" t="s">
        <v>182</v>
      </c>
      <c r="D87" s="5" t="s">
        <v>252</v>
      </c>
      <c r="E87" s="5" t="s">
        <v>293</v>
      </c>
      <c r="F87" s="5" t="str">
        <f>DoubleAbovePlane(0.1,0.4,0.2,0.9)</f>
        <v>2.42496873513685E-07,5.66457472098981E-11,0,0,0,0</v>
      </c>
      <c r="G87" t="s">
        <v>501</v>
      </c>
    </row>
    <row r="88" spans="3:7" ht="18">
      <c r="C88" t="s">
        <v>183</v>
      </c>
      <c r="D88" s="5" t="s">
        <v>253</v>
      </c>
      <c r="E88" s="5" t="s">
        <v>293</v>
      </c>
      <c r="F88" s="5" t="str">
        <f>FourWire(0.1,0.3,0.5,0.77)</f>
        <v>5.93174652883585E-07,3.16369375566505E-11,0,0,0,0</v>
      </c>
      <c r="G88" t="s">
        <v>502</v>
      </c>
    </row>
    <row r="89" spans="3:7" ht="15">
      <c r="C89" t="s">
        <v>184</v>
      </c>
      <c r="D89" s="5" t="s">
        <v>254</v>
      </c>
      <c r="E89" s="5" t="s">
        <v>293</v>
      </c>
      <c r="F89" s="5" t="str">
        <f>ParallelStrips(0.1,1)</f>
        <v>1.25753646272005E-07,8.84785274447894E-11,0,0,0,0</v>
      </c>
      <c r="G89" t="s">
        <v>503</v>
      </c>
    </row>
    <row r="90" spans="3:7" ht="18">
      <c r="C90" t="s">
        <v>185</v>
      </c>
      <c r="D90" s="5" t="s">
        <v>288</v>
      </c>
      <c r="E90" s="5" t="s">
        <v>293</v>
      </c>
      <c r="F90" s="5">
        <f>Wheeler(0.004,0.002,0.02,4.8)</f>
        <v>44.5463230141015</v>
      </c>
      <c r="G90">
        <v>44.5463230141015</v>
      </c>
    </row>
    <row r="91" spans="3:10" ht="18">
      <c r="C91" t="s">
        <v>186</v>
      </c>
      <c r="D91" s="5" t="s">
        <v>243</v>
      </c>
      <c r="E91" s="5" t="s">
        <v>293</v>
      </c>
      <c r="F91" s="5" t="str">
        <f>Microstrip(0.004,0.002,0.002,ρCu,4.8,0.001)</f>
        <v>2.43607987681916E-07,1.44913954311607E-10,0.001,0.001,0,5.2062734294778E-06</v>
      </c>
      <c r="G91" t="s">
        <v>504</v>
      </c>
      <c r="I91" s="5" t="str">
        <f>Zcharacteristic(F91)</f>
        <v>41.0006421324706</v>
      </c>
      <c r="J91" s="5" t="str">
        <f>VFfromLC(TLextract(F91,0),TLextract(F91,1))</f>
        <v>0.561407707094774</v>
      </c>
    </row>
    <row r="92" spans="3:7" ht="18">
      <c r="C92" t="s">
        <v>187</v>
      </c>
      <c r="D92" s="5" t="s">
        <v>266</v>
      </c>
      <c r="E92" s="5" t="s">
        <v>293</v>
      </c>
      <c r="F92" s="5" t="str">
        <f>DifferentialOpposite(0.004,0.002,0.002,ρCu,4.8,0.001)</f>
        <v>3.2252858014887E-07,1.18240461275463E-10,0.002,0.002,0,4.74590769724298E-06</v>
      </c>
      <c r="G92" t="s">
        <v>505</v>
      </c>
    </row>
    <row r="93" spans="3:7" ht="18">
      <c r="C93" t="s">
        <v>188</v>
      </c>
      <c r="D93" s="5" t="s">
        <v>267</v>
      </c>
      <c r="E93" s="5" t="s">
        <v>293</v>
      </c>
      <c r="F93" s="5" t="str">
        <f>DifferentialMicrostrip(0.002,0.004,0.002,0.002,ρCu,4.8,0.001)</f>
        <v>3.97671240531719E-07,8.87723154173227E-11,0.002,0.002,0,3.18929221982739E-06</v>
      </c>
      <c r="G93" t="s">
        <v>506</v>
      </c>
    </row>
    <row r="94" spans="3:4" ht="18">
      <c r="C94" t="s">
        <v>189</v>
      </c>
      <c r="D94" s="5" t="s">
        <v>269</v>
      </c>
    </row>
    <row r="95" spans="3:7" ht="18">
      <c r="C95" t="s">
        <v>190</v>
      </c>
      <c r="D95" s="5" t="s">
        <v>268</v>
      </c>
      <c r="E95" s="5" t="s">
        <v>293</v>
      </c>
      <c r="F95" s="5" t="str">
        <f>Stripline(0.002,0.002,0.001,0.5)</f>
        <v>7.59504567402261E-08,7.32483905989924E-11,0,0,0,0</v>
      </c>
      <c r="G95" t="s">
        <v>507</v>
      </c>
    </row>
    <row r="96" ht="15">
      <c r="B96" s="5" t="s">
        <v>376</v>
      </c>
    </row>
    <row r="97" spans="3:7" ht="18">
      <c r="C97" s="5" t="s">
        <v>372</v>
      </c>
      <c r="D97" s="5" t="s">
        <v>404</v>
      </c>
      <c r="E97" s="5" t="s">
        <v>293</v>
      </c>
      <c r="F97">
        <f>Ccoil(0.02,0.015,20)/pico</f>
        <v>0.4971003577244564</v>
      </c>
      <c r="G97">
        <v>0.4971003577244564</v>
      </c>
    </row>
    <row r="98" spans="3:10" ht="18">
      <c r="C98" s="5" t="s">
        <v>409</v>
      </c>
      <c r="D98" s="5" t="s">
        <v>470</v>
      </c>
      <c r="E98" s="5" t="s">
        <v>293</v>
      </c>
      <c r="F98">
        <f>Rcoil(0.02,0.015,20,0.0003,10)</f>
        <v>1.0559297741049403</v>
      </c>
      <c r="G98">
        <v>1.0559297741049403</v>
      </c>
      <c r="J98" s="5"/>
    </row>
    <row r="99" spans="3:7" ht="18">
      <c r="C99" s="5" t="s">
        <v>401</v>
      </c>
      <c r="D99" s="5" t="s">
        <v>405</v>
      </c>
      <c r="E99" s="5" t="s">
        <v>293</v>
      </c>
      <c r="F99">
        <f>Lcoil(40*mpi,20*mpi,400,AWG(14),0.01)</f>
        <v>0.03275386686663107</v>
      </c>
      <c r="G99">
        <v>0.03275386686663107</v>
      </c>
    </row>
    <row r="100" spans="3:10" ht="18">
      <c r="C100" s="5" t="s">
        <v>373</v>
      </c>
      <c r="D100" s="5" t="s">
        <v>377</v>
      </c>
      <c r="E100" s="5" t="s">
        <v>293</v>
      </c>
      <c r="F100" t="str">
        <f>Zcoil(0.05,0.02,50,AWG(20),1.9)</f>
        <v>1.12111402293412+190.45612220595i</v>
      </c>
      <c r="G100" t="s">
        <v>508</v>
      </c>
      <c r="J100" s="5"/>
    </row>
    <row r="101" spans="3:7" ht="18">
      <c r="C101" s="5" t="s">
        <v>402</v>
      </c>
      <c r="D101" s="5" t="s">
        <v>406</v>
      </c>
      <c r="E101" s="5" t="s">
        <v>293</v>
      </c>
      <c r="F101">
        <f>Qcoil(0.02,0.015,20,0.0003,10)</f>
        <v>199.6424769061062</v>
      </c>
      <c r="G101">
        <v>199.6424769061062</v>
      </c>
    </row>
    <row r="102" spans="3:7" ht="18">
      <c r="C102" s="5" t="s">
        <v>403</v>
      </c>
      <c r="D102" s="5" t="s">
        <v>407</v>
      </c>
      <c r="E102" s="5" t="s">
        <v>293</v>
      </c>
      <c r="F102">
        <f>SRFcoil(0.02,0.015,20)</f>
        <v>108.40455595801163</v>
      </c>
      <c r="G102">
        <v>108.40455595801163</v>
      </c>
    </row>
    <row r="103" spans="3:7" ht="15">
      <c r="C103" s="5" t="s">
        <v>374</v>
      </c>
      <c r="D103" s="5" t="s">
        <v>378</v>
      </c>
      <c r="E103" s="5" t="s">
        <v>293</v>
      </c>
      <c r="F103" t="str">
        <f>FreeSpaceDipoleZ(127.75*mpf,AWG(14),3.75)</f>
        <v>74.2709251627047-0.442347976902744i</v>
      </c>
      <c r="G103" t="s">
        <v>380</v>
      </c>
    </row>
    <row r="104" spans="3:10" ht="15">
      <c r="C104" s="5" t="s">
        <v>375</v>
      </c>
      <c r="D104" s="5" t="s">
        <v>378</v>
      </c>
      <c r="E104" s="5" t="s">
        <v>293</v>
      </c>
      <c r="F104" t="str">
        <f>AboveGroundDipoleZ(66.667*mpf,52*mpf,7)</f>
        <v>80.7057661806396-49.3016969666277i</v>
      </c>
      <c r="G104" t="s">
        <v>381</v>
      </c>
      <c r="H104" s="5"/>
      <c r="J104" s="5"/>
    </row>
    <row r="105" spans="3:10" ht="15">
      <c r="C105" s="5" t="s">
        <v>382</v>
      </c>
      <c r="D105" s="5" t="s">
        <v>378</v>
      </c>
      <c r="E105" s="5" t="s">
        <v>293</v>
      </c>
      <c r="F105" t="str">
        <f>WireDipoleZ(100*mpf,0.02*mpi,60*mpf,5.2)</f>
        <v>122.384945301091+166.58050755577i</v>
      </c>
      <c r="G105" t="s">
        <v>386</v>
      </c>
      <c r="J105" s="5"/>
    </row>
    <row r="106" ht="15">
      <c r="B106" s="5" t="s">
        <v>456</v>
      </c>
    </row>
    <row r="107" spans="3:7" ht="15">
      <c r="C107" s="7" t="s">
        <v>420</v>
      </c>
      <c r="D107" s="8" t="s">
        <v>450</v>
      </c>
      <c r="E107" s="5"/>
      <c r="F107" s="5"/>
      <c r="G107" s="5"/>
    </row>
    <row r="108" spans="3:6" ht="15">
      <c r="C108" s="7" t="s">
        <v>421</v>
      </c>
      <c r="D108" s="8" t="s">
        <v>453</v>
      </c>
      <c r="E108" s="5"/>
      <c r="F108" s="5" t="s">
        <v>459</v>
      </c>
    </row>
    <row r="109" spans="3:5" ht="15">
      <c r="C109" s="7" t="s">
        <v>422</v>
      </c>
      <c r="D109" s="7" t="s">
        <v>454</v>
      </c>
      <c r="E109" s="5"/>
    </row>
    <row r="110" spans="3:6" ht="15">
      <c r="C110" s="7" t="s">
        <v>423</v>
      </c>
      <c r="D110" s="8" t="s">
        <v>449</v>
      </c>
      <c r="E110" s="5"/>
      <c r="F110" s="5" t="s">
        <v>460</v>
      </c>
    </row>
    <row r="111" spans="3:6" ht="15">
      <c r="C111" s="7" t="s">
        <v>424</v>
      </c>
      <c r="D111" s="7" t="s">
        <v>455</v>
      </c>
      <c r="F111" s="5" t="s">
        <v>461</v>
      </c>
    </row>
    <row r="112" spans="3:6" ht="15">
      <c r="C112" s="7" t="s">
        <v>425</v>
      </c>
      <c r="D112" s="7" t="s">
        <v>426</v>
      </c>
      <c r="F112" s="5" t="s">
        <v>462</v>
      </c>
    </row>
    <row r="113" spans="3:6" ht="15">
      <c r="C113" s="7" t="s">
        <v>427</v>
      </c>
      <c r="D113" s="7" t="s">
        <v>428</v>
      </c>
      <c r="F113" s="5" t="s">
        <v>463</v>
      </c>
    </row>
    <row r="114" spans="3:6" ht="15">
      <c r="C114" s="7" t="s">
        <v>429</v>
      </c>
      <c r="D114" s="7" t="s">
        <v>430</v>
      </c>
      <c r="F114" s="5" t="s">
        <v>464</v>
      </c>
    </row>
    <row r="115" spans="3:6" ht="15">
      <c r="C115" s="7" t="s">
        <v>431</v>
      </c>
      <c r="D115" s="7" t="s">
        <v>432</v>
      </c>
      <c r="F115" s="5" t="s">
        <v>465</v>
      </c>
    </row>
    <row r="116" spans="3:4" ht="15">
      <c r="C116" s="7" t="s">
        <v>433</v>
      </c>
      <c r="D116" s="7" t="s">
        <v>434</v>
      </c>
    </row>
    <row r="117" spans="3:6" ht="15">
      <c r="C117" s="7" t="s">
        <v>435</v>
      </c>
      <c r="D117" s="7" t="s">
        <v>436</v>
      </c>
      <c r="F117" s="5"/>
    </row>
    <row r="118" spans="3:6" ht="15">
      <c r="C118" s="7" t="s">
        <v>437</v>
      </c>
      <c r="D118" s="7" t="s">
        <v>438</v>
      </c>
      <c r="F118" s="5"/>
    </row>
    <row r="119" spans="3:4" ht="15">
      <c r="C119" s="7" t="s">
        <v>439</v>
      </c>
      <c r="D119" s="7" t="s">
        <v>440</v>
      </c>
    </row>
    <row r="120" spans="3:4" ht="15">
      <c r="C120" s="7" t="s">
        <v>441</v>
      </c>
      <c r="D120" s="7" t="s">
        <v>442</v>
      </c>
    </row>
    <row r="121" spans="3:4" ht="17.25">
      <c r="C121" s="7" t="s">
        <v>443</v>
      </c>
      <c r="D121" s="7" t="s">
        <v>451</v>
      </c>
    </row>
    <row r="122" spans="3:4" ht="17.25">
      <c r="C122" s="7" t="s">
        <v>444</v>
      </c>
      <c r="D122" s="7" t="s">
        <v>452</v>
      </c>
    </row>
    <row r="123" spans="3:4" ht="15">
      <c r="C123" s="7" t="s">
        <v>445</v>
      </c>
      <c r="D123" s="7" t="s">
        <v>446</v>
      </c>
    </row>
    <row r="124" spans="3:4" ht="15">
      <c r="C124" s="7" t="s">
        <v>447</v>
      </c>
      <c r="D124" s="7" t="s">
        <v>448</v>
      </c>
    </row>
    <row r="125" ht="15">
      <c r="B125" t="s">
        <v>191</v>
      </c>
    </row>
    <row r="126" spans="3:7" ht="17.25">
      <c r="C126" t="s">
        <v>193</v>
      </c>
      <c r="D126" s="5" t="s">
        <v>458</v>
      </c>
      <c r="F126">
        <f>antilog(3)</f>
        <v>1000</v>
      </c>
      <c r="G126">
        <v>1000</v>
      </c>
    </row>
    <row r="127" spans="3:7" ht="15">
      <c r="C127" s="5" t="s">
        <v>489</v>
      </c>
      <c r="D127" s="5" t="s">
        <v>457</v>
      </c>
      <c r="F127" s="5" t="str">
        <f>IMCOSH("1+1i")</f>
        <v>0.83373002513115+0.988897705762865i</v>
      </c>
      <c r="G127" s="5" t="s">
        <v>491</v>
      </c>
    </row>
    <row r="128" spans="3:7" ht="15">
      <c r="C128" s="5" t="s">
        <v>490</v>
      </c>
      <c r="D128" s="5" t="s">
        <v>418</v>
      </c>
      <c r="F128" s="5" t="str">
        <f>IMsinh("1+1i")</f>
        <v>0.63496391478474+1.29845758141597i</v>
      </c>
      <c r="G128" s="5" t="s">
        <v>492</v>
      </c>
    </row>
    <row r="129" spans="3:4" ht="15">
      <c r="C129" s="5" t="s">
        <v>417</v>
      </c>
      <c r="D129" s="5"/>
    </row>
    <row r="130" spans="3:4" ht="15">
      <c r="C130" t="s">
        <v>192</v>
      </c>
      <c r="D130" s="5"/>
    </row>
    <row r="131" ht="15">
      <c r="C131" s="5" t="s">
        <v>413</v>
      </c>
    </row>
    <row r="132" spans="3:4" ht="15">
      <c r="C132" s="5" t="s">
        <v>387</v>
      </c>
      <c r="D132" s="5"/>
    </row>
    <row r="133" spans="3:4" ht="15">
      <c r="C133" s="5" t="s">
        <v>416</v>
      </c>
      <c r="D133" s="5"/>
    </row>
    <row r="134" spans="3:10" ht="15">
      <c r="C134" s="5" t="s">
        <v>415</v>
      </c>
      <c r="D134" s="5"/>
      <c r="F134" s="5"/>
      <c r="H134" s="5"/>
      <c r="I134" s="5"/>
      <c r="J134" s="5"/>
    </row>
    <row r="135" spans="3:10" ht="15">
      <c r="C135" s="5" t="s">
        <v>414</v>
      </c>
      <c r="D135" s="5"/>
      <c r="F135" s="5"/>
      <c r="G135" s="5"/>
      <c r="H135" s="5"/>
      <c r="I135" s="5"/>
      <c r="J135" s="5"/>
    </row>
    <row r="136" spans="2:10" ht="15">
      <c r="B136" t="s">
        <v>204</v>
      </c>
      <c r="F136" s="5"/>
      <c r="G136" s="5"/>
      <c r="H136" s="5"/>
      <c r="I136" s="5"/>
      <c r="J136" s="5"/>
    </row>
    <row r="137" spans="3:10" ht="15">
      <c r="C137" s="5" t="s">
        <v>474</v>
      </c>
      <c r="F137" s="5"/>
      <c r="G137" s="5"/>
      <c r="H137" s="5"/>
      <c r="I137" s="5"/>
      <c r="J137" s="5"/>
    </row>
    <row r="138" ht="15">
      <c r="C138" s="5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O73"/>
  <sheetViews>
    <sheetView zoomScalePageLayoutView="0" workbookViewId="0" topLeftCell="A1">
      <selection activeCell="M1" sqref="M1"/>
    </sheetView>
  </sheetViews>
  <sheetFormatPr defaultColWidth="9.140625" defaultRowHeight="15"/>
  <cols>
    <col min="2" max="2" width="31.421875" style="0" customWidth="1"/>
  </cols>
  <sheetData>
    <row r="1" spans="2:3" ht="15">
      <c r="B1" s="6" t="s">
        <v>270</v>
      </c>
      <c r="C1" t="s">
        <v>274</v>
      </c>
    </row>
    <row r="2" spans="2:3" ht="15">
      <c r="B2" s="6" t="s">
        <v>271</v>
      </c>
      <c r="C2" t="s">
        <v>275</v>
      </c>
    </row>
    <row r="3" spans="2:3" ht="15">
      <c r="B3" s="6" t="s">
        <v>272</v>
      </c>
      <c r="C3" t="s">
        <v>276</v>
      </c>
    </row>
    <row r="4" spans="2:3" ht="15">
      <c r="B4" s="6" t="s">
        <v>273</v>
      </c>
      <c r="C4" t="s">
        <v>277</v>
      </c>
    </row>
    <row r="73" ht="15">
      <c r="O73" s="5"/>
    </row>
  </sheetData>
  <sheetProtection/>
  <hyperlinks>
    <hyperlink ref="B1" r:id="rId1" display="View the manual"/>
    <hyperlink ref="B2" r:id="rId2" display="Download the examples"/>
    <hyperlink ref="B3" r:id="rId3" display="View the KQ6QV HomePage"/>
    <hyperlink ref="B4" r:id="rId4" display="Download the latest project base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L. Nist</dc:creator>
  <cp:keywords/>
  <dc:description/>
  <cp:lastModifiedBy>Ken</cp:lastModifiedBy>
  <dcterms:created xsi:type="dcterms:W3CDTF">2011-02-04T01:26:19Z</dcterms:created>
  <dcterms:modified xsi:type="dcterms:W3CDTF">2011-12-13T00:20:36Z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